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C:\Users\DN32298\Desktop\"/>
    </mc:Choice>
  </mc:AlternateContent>
  <xr:revisionPtr revIDLastSave="0" documentId="8_{B5FEC103-0302-44B0-A9EE-B942FFB54D79}" xr6:coauthVersionLast="47" xr6:coauthVersionMax="47" xr10:uidLastSave="{00000000-0000-0000-0000-000000000000}"/>
  <bookViews>
    <workbookView xWindow="-110" yWindow="-110" windowWidth="19420" windowHeight="116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1 - Universal Data" sheetId="43" r:id="rId19"/>
    <sheet name="I2 - Monthly Inflation" sheetId="44" r:id="rId20"/>
  </sheets>
  <definedNames>
    <definedName name="________hom1" localSheetId="18" hidden="1">{#N/A,#N/A,FALSE,"Assessment";#N/A,#N/A,FALSE,"Staffing";#N/A,#N/A,FALSE,"Hires";#N/A,#N/A,FALSE,"Assumptions"}</definedName>
    <definedName name="________hom1" hidden="1">{#N/A,#N/A,FALSE,"Assessment";#N/A,#N/A,FALSE,"Staffing";#N/A,#N/A,FALSE,"Hires";#N/A,#N/A,FALSE,"Assumptions"}</definedName>
    <definedName name="________k1" localSheetId="18" hidden="1">{#N/A,#N/A,FALSE,"Assessment";#N/A,#N/A,FALSE,"Staffing";#N/A,#N/A,FALSE,"Hires";#N/A,#N/A,FALSE,"Assumptions"}</definedName>
    <definedName name="________k1" hidden="1">{#N/A,#N/A,FALSE,"Assessment";#N/A,#N/A,FALSE,"Staffing";#N/A,#N/A,FALSE,"Hires";#N/A,#N/A,FALSE,"Assumptions"}</definedName>
    <definedName name="________kk1" localSheetId="18" hidden="1">{#N/A,#N/A,FALSE,"Assessment";#N/A,#N/A,FALSE,"Staffing";#N/A,#N/A,FALSE,"Hires";#N/A,#N/A,FALSE,"Assumptions"}</definedName>
    <definedName name="________kk1" hidden="1">{#N/A,#N/A,FALSE,"Assessment";#N/A,#N/A,FALSE,"Staffing";#N/A,#N/A,FALSE,"Hires";#N/A,#N/A,FALSE,"Assumptions"}</definedName>
    <definedName name="________KKK1" localSheetId="18" hidden="1">{#N/A,#N/A,FALSE,"Assessment";#N/A,#N/A,FALSE,"Staffing";#N/A,#N/A,FALSE,"Hires";#N/A,#N/A,FALSE,"Assumptions"}</definedName>
    <definedName name="________KKK1" hidden="1">{#N/A,#N/A,FALSE,"Assessment";#N/A,#N/A,FALSE,"Staffing";#N/A,#N/A,FALSE,"Hires";#N/A,#N/A,FALSE,"Assumptions"}</definedName>
    <definedName name="________w2" localSheetId="18"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8" hidden="1">{"holdco",#N/A,FALSE,"Summary Financials";"holdco",#N/A,FALSE,"Summary Financials"}</definedName>
    <definedName name="________wr9" hidden="1">{"holdco",#N/A,FALSE,"Summary Financials";"holdco",#N/A,FALSE,"Summary Financials"}</definedName>
    <definedName name="________wrn1" localSheetId="18" hidden="1">{"holdco",#N/A,FALSE,"Summary Financials";"holdco",#N/A,FALSE,"Summary Financials"}</definedName>
    <definedName name="________wrn1" hidden="1">{"holdco",#N/A,FALSE,"Summary Financials";"holdco",#N/A,FALSE,"Summary Financials"}</definedName>
    <definedName name="________wrn2" localSheetId="18" hidden="1">{"holdco",#N/A,FALSE,"Summary Financials";"holdco",#N/A,FALSE,"Summary Financials"}</definedName>
    <definedName name="________wrn2" hidden="1">{"holdco",#N/A,FALSE,"Summary Financials";"holdco",#N/A,FALSE,"Summary Financials"}</definedName>
    <definedName name="________wrn3" localSheetId="18" hidden="1">{"holdco",#N/A,FALSE,"Summary Financials";"holdco",#N/A,FALSE,"Summary Financials"}</definedName>
    <definedName name="________wrn3" hidden="1">{"holdco",#N/A,FALSE,"Summary Financials";"holdco",#N/A,FALSE,"Summary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8" hidden="1">{"holdco",#N/A,FALSE,"Summary Financials";"holdco",#N/A,FALSE,"Summary Financials"}</definedName>
    <definedName name="________wrn8" hidden="1">{"holdco",#N/A,FALSE,"Summary Financials";"holdco",#N/A,FALSE,"Summary Financials"}</definedName>
    <definedName name="_______bb2" localSheetId="18" hidden="1">{#N/A,#N/A,FALSE,"PRJCTED MNTHLY QTY's"}</definedName>
    <definedName name="_______bb2" hidden="1">{#N/A,#N/A,FALSE,"PRJCTED MNTHLY QTY's"}</definedName>
    <definedName name="_______Lee5" localSheetId="18" hidden="1">{#VALUE!,#N/A,FALSE,0}</definedName>
    <definedName name="_______Lee5" hidden="1">{#VALUE!,#N/A,FALSE,0}</definedName>
    <definedName name="______hom1" localSheetId="18" hidden="1">{#N/A,#N/A,FALSE,"Assessment";#N/A,#N/A,FALSE,"Staffing";#N/A,#N/A,FALSE,"Hires";#N/A,#N/A,FALSE,"Assumptions"}</definedName>
    <definedName name="______hom1" hidden="1">{#N/A,#N/A,FALSE,"Assessment";#N/A,#N/A,FALSE,"Staffing";#N/A,#N/A,FALSE,"Hires";#N/A,#N/A,FALSE,"Assumptions"}</definedName>
    <definedName name="______k1" localSheetId="18" hidden="1">{#N/A,#N/A,FALSE,"Assessment";#N/A,#N/A,FALSE,"Staffing";#N/A,#N/A,FALSE,"Hires";#N/A,#N/A,FALSE,"Assumptions"}</definedName>
    <definedName name="______k1" hidden="1">{#N/A,#N/A,FALSE,"Assessment";#N/A,#N/A,FALSE,"Staffing";#N/A,#N/A,FALSE,"Hires";#N/A,#N/A,FALSE,"Assumptions"}</definedName>
    <definedName name="______kk1" localSheetId="18" hidden="1">{#N/A,#N/A,FALSE,"Assessment";#N/A,#N/A,FALSE,"Staffing";#N/A,#N/A,FALSE,"Hires";#N/A,#N/A,FALSE,"Assumptions"}</definedName>
    <definedName name="______kk1" hidden="1">{#N/A,#N/A,FALSE,"Assessment";#N/A,#N/A,FALSE,"Staffing";#N/A,#N/A,FALSE,"Hires";#N/A,#N/A,FALSE,"Assumptions"}</definedName>
    <definedName name="______KKK1" localSheetId="18" hidden="1">{#N/A,#N/A,FALSE,"Assessment";#N/A,#N/A,FALSE,"Staffing";#N/A,#N/A,FALSE,"Hires";#N/A,#N/A,FALSE,"Assumptions"}</definedName>
    <definedName name="______KKK1" hidden="1">{#N/A,#N/A,FALSE,"Assessment";#N/A,#N/A,FALSE,"Staffing";#N/A,#N/A,FALSE,"Hires";#N/A,#N/A,FALSE,"Assumptions"}</definedName>
    <definedName name="______w2" localSheetId="18"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8" hidden="1">{"holdco",#N/A,FALSE,"Summary Financials";"holdco",#N/A,FALSE,"Summary Financials"}</definedName>
    <definedName name="______wr9" hidden="1">{"holdco",#N/A,FALSE,"Summary Financials";"holdco",#N/A,FALSE,"Summary Financials"}</definedName>
    <definedName name="______wrn1" localSheetId="18" hidden="1">{"holdco",#N/A,FALSE,"Summary Financials";"holdco",#N/A,FALSE,"Summary Financials"}</definedName>
    <definedName name="______wrn1" hidden="1">{"holdco",#N/A,FALSE,"Summary Financials";"holdco",#N/A,FALSE,"Summary Financials"}</definedName>
    <definedName name="______wrn2" localSheetId="18" hidden="1">{"holdco",#N/A,FALSE,"Summary Financials";"holdco",#N/A,FALSE,"Summary Financials"}</definedName>
    <definedName name="______wrn2" hidden="1">{"holdco",#N/A,FALSE,"Summary Financials";"holdco",#N/A,FALSE,"Summary Financials"}</definedName>
    <definedName name="______wrn3" localSheetId="18" hidden="1">{"holdco",#N/A,FALSE,"Summary Financials";"holdco",#N/A,FALSE,"Summary Financials"}</definedName>
    <definedName name="______wrn3" hidden="1">{"holdco",#N/A,FALSE,"Summary Financials";"holdco",#N/A,FALSE,"Summary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8" hidden="1">{"holdco",#N/A,FALSE,"Summary Financials";"holdco",#N/A,FALSE,"Summary Financials"}</definedName>
    <definedName name="______wrn8" hidden="1">{"holdco",#N/A,FALSE,"Summary Financials";"holdco",#N/A,FALSE,"Summary Financials"}</definedName>
    <definedName name="_____KKK1" localSheetId="18" hidden="1">{#N/A,#N/A,FALSE,"Assessment";#N/A,#N/A,FALSE,"Staffing";#N/A,#N/A,FALSE,"Hires";#N/A,#N/A,FALSE,"Assumptions"}</definedName>
    <definedName name="_____KKK1" hidden="1">{#N/A,#N/A,FALSE,"Assessment";#N/A,#N/A,FALSE,"Staffing";#N/A,#N/A,FALSE,"Hires";#N/A,#N/A,FALSE,"Assumptions"}</definedName>
    <definedName name="_____wrn1" localSheetId="18" hidden="1">{"holdco",#N/A,FALSE,"Summary Financials";"holdco",#N/A,FALSE,"Summary Financials"}</definedName>
    <definedName name="_____wrn1" hidden="1">{"holdco",#N/A,FALSE,"Summary Financials";"holdco",#N/A,FALSE,"Summary Financials"}</definedName>
    <definedName name="_____wrn2" localSheetId="18" hidden="1">{"holdco",#N/A,FALSE,"Summary Financials";"holdco",#N/A,FALSE,"Summary Financials"}</definedName>
    <definedName name="_____wrn2" hidden="1">{"holdco",#N/A,FALSE,"Summary Financials";"holdco",#N/A,FALSE,"Summary Financials"}</definedName>
    <definedName name="_____wrn3" localSheetId="18" hidden="1">{"holdco",#N/A,FALSE,"Summary Financials";"holdco",#N/A,FALSE,"Summary Financials"}</definedName>
    <definedName name="_____wrn3" hidden="1">{"holdco",#N/A,FALSE,"Summary Financials";"holdco",#N/A,FALSE,"Summary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8"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8"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8" hidden="1">{#N/A,#N/A,FALSE,"Assessment";#N/A,#N/A,FALSE,"Staffing";#N/A,#N/A,FALSE,"Hires";#N/A,#N/A,FALSE,"Assumptions"}</definedName>
    <definedName name="__kk1" hidden="1">{#N/A,#N/A,FALSE,"Assessment";#N/A,#N/A,FALSE,"Staffing";#N/A,#N/A,FALSE,"Hires";#N/A,#N/A,FALSE,"Assumptions"}</definedName>
    <definedName name="__KKK1" localSheetId="18" hidden="1">{#N/A,#N/A,FALSE,"Assessment";#N/A,#N/A,FALSE,"Staffing";#N/A,#N/A,FALSE,"Hires";#N/A,#N/A,FALSE,"Assumptions"}</definedName>
    <definedName name="__KKK1" hidden="1">{#N/A,#N/A,FALSE,"Assessment";#N/A,#N/A,FALSE,"Staffing";#N/A,#N/A,FALSE,"Hires";#N/A,#N/A,FALSE,"Assumptions"}</definedName>
    <definedName name="__wrn1" localSheetId="18" hidden="1">{"holdco",#N/A,FALSE,"Summary Financials";"holdco",#N/A,FALSE,"Summary Financials"}</definedName>
    <definedName name="__wrn1" hidden="1">{"holdco",#N/A,FALSE,"Summary Financials";"holdco",#N/A,FALSE,"Summary Financials"}</definedName>
    <definedName name="__wrn2" localSheetId="18" hidden="1">{"holdco",#N/A,FALSE,"Summary Financials";"holdco",#N/A,FALSE,"Summary Financials"}</definedName>
    <definedName name="__wrn2" hidden="1">{"holdco",#N/A,FALSE,"Summary Financials";"holdco",#N/A,FALSE,"Summary Financials"}</definedName>
    <definedName name="__wrn3" localSheetId="18" hidden="1">{"holdco",#N/A,FALSE,"Summary Financials";"holdco",#N/A,FALSE,"Summary Financials"}</definedName>
    <definedName name="__wrn3" hidden="1">{"holdco",#N/A,FALSE,"Summary Financials";"holdco",#N/A,FALSE,"Summary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8"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8" hidden="1">#REF!</definedName>
    <definedName name="_example" hidden="1">#REF!</definedName>
    <definedName name="_Fill" localSheetId="18" hidden="1">#REF!</definedName>
    <definedName name="_Fill" hidden="1">#REF!</definedName>
    <definedName name="_xlnm._FilterDatabase" localSheetId="14" hidden="1">'R8a - Tax Reconciliation'!$A$9:$M$99</definedName>
    <definedName name="_Key1" localSheetId="18" hidden="1">#REF!</definedName>
    <definedName name="_Key1" hidden="1">#REF!</definedName>
    <definedName name="_Key2" localSheetId="18" hidden="1">#REF!</definedName>
    <definedName name="_Key2" hidden="1">#REF!</definedName>
    <definedName name="_Order1" hidden="1">255</definedName>
    <definedName name="_Order2" hidden="1">0</definedName>
    <definedName name="_Sort" localSheetId="18" hidden="1">#REF!</definedName>
    <definedName name="_Sort" hidden="1">#REF!</definedName>
    <definedName name="a" localSheetId="18"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8" hidden="1">#REF!</definedName>
    <definedName name="ACwvu.CapersView." hidden="1">#REF!</definedName>
    <definedName name="ACwvu.Japan_Capers_Ed_Pub." localSheetId="18" hidden="1">#REF!</definedName>
    <definedName name="ACwvu.Japan_Capers_Ed_Pub." hidden="1">#REF!</definedName>
    <definedName name="ACwvu.KJP_CC." localSheetId="18"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8" hidden="1">{"staff",#N/A,FALSE,"Current Month"}</definedName>
    <definedName name="b" hidden="1">{"staff",#N/A,FALSE,"Current Month"}</definedName>
    <definedName name="bb" localSheetId="18" hidden="1">{#N/A,#N/A,FALSE,"PRJCTED MNTHLY QTY's"}</definedName>
    <definedName name="bb" hidden="1">{#N/A,#N/A,FALSE,"PRJCTED MNTHLY QTY's"}</definedName>
    <definedName name="bbbb" localSheetId="18" hidden="1">{#N/A,#N/A,FALSE,"PRJCTED QTRLY QTY's"}</definedName>
    <definedName name="bbbb" hidden="1">{#N/A,#N/A,FALSE,"PRJCTED QTRLY QTY's"}</definedName>
    <definedName name="bbbbbb" localSheetId="18" hidden="1">{#N/A,#N/A,FALSE,"PRJCTED QTRLY QTY's"}</definedName>
    <definedName name="bbbbbb" hidden="1">{#N/A,#N/A,FALSE,"PRJCTED QTRLY QTY's"}</definedName>
    <definedName name="BExEZ4HBCC06708765M8A06KCR7P" hidden="1">#N/A</definedName>
    <definedName name="BLPH1" hidden="1">#REF!</definedName>
    <definedName name="BLPH10" localSheetId="18" hidden="1">#REF!</definedName>
    <definedName name="BLPH10" hidden="1">#REF!</definedName>
    <definedName name="BLPH100" localSheetId="18" hidden="1">#REF!</definedName>
    <definedName name="BLPH100" hidden="1">#REF!</definedName>
    <definedName name="BLPH101" localSheetId="18"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8" hidden="1">#REF!</definedName>
    <definedName name="BLPH2" hidden="1">#REF!</definedName>
    <definedName name="BLPH20" localSheetId="18" hidden="1">#REF!</definedName>
    <definedName name="BLPH20" hidden="1">#REF!</definedName>
    <definedName name="BLPH200" localSheetId="18" hidden="1">#REF!</definedName>
    <definedName name="BLPH200" hidden="1">#REF!</definedName>
    <definedName name="BLPH201" localSheetId="18"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8" hidden="1">#REF!</definedName>
    <definedName name="BLPH210" hidden="1">#REF!</definedName>
    <definedName name="BLPH211" localSheetId="18" hidden="1">#REF!</definedName>
    <definedName name="BLPH211" hidden="1">#REF!</definedName>
    <definedName name="BLPH212" localSheetId="18"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8" hidden="1">#REF!</definedName>
    <definedName name="BLPH220" hidden="1">#REF!</definedName>
    <definedName name="BLPH221" localSheetId="18" hidden="1">#REF!</definedName>
    <definedName name="BLPH221" hidden="1">#REF!</definedName>
    <definedName name="BLPH222" localSheetId="18"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8" hidden="1">#REF!</definedName>
    <definedName name="BLPH230" hidden="1">#REF!</definedName>
    <definedName name="BLPH231" localSheetId="18" hidden="1">#REF!</definedName>
    <definedName name="BLPH231" hidden="1">#REF!</definedName>
    <definedName name="BLPH232" localSheetId="18"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8" hidden="1">#REF!</definedName>
    <definedName name="BLPH240" hidden="1">#REF!</definedName>
    <definedName name="BLPH241" localSheetId="18" hidden="1">#REF!</definedName>
    <definedName name="BLPH241" hidden="1">#REF!</definedName>
    <definedName name="BLPH242" localSheetId="18"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8" hidden="1">#REF!</definedName>
    <definedName name="BLPH250" hidden="1">#REF!</definedName>
    <definedName name="BLPH251" localSheetId="18" hidden="1">#REF!</definedName>
    <definedName name="BLPH251" hidden="1">#REF!</definedName>
    <definedName name="BLPH252" localSheetId="18"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8" hidden="1">#REF!</definedName>
    <definedName name="BLPH260" hidden="1">#REF!</definedName>
    <definedName name="BLPH261" localSheetId="18" hidden="1">#REF!</definedName>
    <definedName name="BLPH261" hidden="1">#REF!</definedName>
    <definedName name="BLPH262" localSheetId="18"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8" hidden="1">#REF!</definedName>
    <definedName name="BLPH270" hidden="1">#REF!</definedName>
    <definedName name="BLPH271" localSheetId="18" hidden="1">#REF!</definedName>
    <definedName name="BLPH271" hidden="1">#REF!</definedName>
    <definedName name="BLPH272" localSheetId="18"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8" hidden="1">#REF!</definedName>
    <definedName name="BLPH280" hidden="1">#REF!</definedName>
    <definedName name="BLPH281" localSheetId="18" hidden="1">#REF!</definedName>
    <definedName name="BLPH281" hidden="1">#REF!</definedName>
    <definedName name="BLPH282" localSheetId="18"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8" hidden="1">#REF!</definedName>
    <definedName name="BLPH290" hidden="1">#REF!</definedName>
    <definedName name="BLPH291" localSheetId="18" hidden="1">#REF!</definedName>
    <definedName name="BLPH291" hidden="1">#REF!</definedName>
    <definedName name="BLPH292" localSheetId="18"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8" hidden="1">#REF!</definedName>
    <definedName name="BLPH3" hidden="1">#REF!</definedName>
    <definedName name="BLPH30" hidden="1">#REF!</definedName>
    <definedName name="BLPH300" localSheetId="18" hidden="1">#REF!</definedName>
    <definedName name="BLPH300" hidden="1">#REF!</definedName>
    <definedName name="BLPH301" localSheetId="18" hidden="1">#REF!</definedName>
    <definedName name="BLPH301" hidden="1">#REF!</definedName>
    <definedName name="BLPH302" localSheetId="18"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8" hidden="1">#REF!</definedName>
    <definedName name="BLPH310" hidden="1">#REF!</definedName>
    <definedName name="BLPH311" localSheetId="18" hidden="1">#REF!</definedName>
    <definedName name="BLPH311" hidden="1">#REF!</definedName>
    <definedName name="BLPH312" localSheetId="18"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8" hidden="1">#REF!</definedName>
    <definedName name="BLPH320" hidden="1">#REF!</definedName>
    <definedName name="BLPH321" localSheetId="18" hidden="1">#REF!</definedName>
    <definedName name="BLPH321" hidden="1">#REF!</definedName>
    <definedName name="BLPH322" localSheetId="18"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8" hidden="1">#REF!</definedName>
    <definedName name="BLPH330" hidden="1">#REF!</definedName>
    <definedName name="BLPH331" localSheetId="18" hidden="1">#REF!</definedName>
    <definedName name="BLPH331" hidden="1">#REF!</definedName>
    <definedName name="BLPH332" localSheetId="18"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8" hidden="1">#REF!</definedName>
    <definedName name="BLPH340" hidden="1">#REF!</definedName>
    <definedName name="BLPH341" localSheetId="18" hidden="1">#REF!</definedName>
    <definedName name="BLPH341" hidden="1">#REF!</definedName>
    <definedName name="BLPH342" localSheetId="18"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8" hidden="1">#REF!</definedName>
    <definedName name="BLPH350" hidden="1">#REF!</definedName>
    <definedName name="BLPH351" localSheetId="18" hidden="1">#REF!</definedName>
    <definedName name="BLPH351" hidden="1">#REF!</definedName>
    <definedName name="BLPH352" localSheetId="18"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8" hidden="1">#REF!</definedName>
    <definedName name="BLPH4" hidden="1">#REF!</definedName>
    <definedName name="BLPH40" localSheetId="18" hidden="1">#REF!</definedName>
    <definedName name="BLPH40" hidden="1">#REF!</definedName>
    <definedName name="BLPH41" localSheetId="18"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8" hidden="1">#REF!</definedName>
    <definedName name="BLPH5" hidden="1">#REF!</definedName>
    <definedName name="BLPH50" localSheetId="18" hidden="1">#REF!</definedName>
    <definedName name="BLPH50" hidden="1">#REF!</definedName>
    <definedName name="BLPH51" localSheetId="18" hidden="1">#REF!</definedName>
    <definedName name="BLPH51" hidden="1">#REF!</definedName>
    <definedName name="BLPH52" localSheetId="18"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4">#REF!</definedName>
    <definedName name="Corporate_Tax">Data!$C$13:$N$13</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8" hidden="1">#REF!</definedName>
    <definedName name="Cwvu.CapersView." hidden="1">#REF!</definedName>
    <definedName name="Cwvu.Japan_Capers_Ed_Pub." localSheetId="18"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localSheetId="18" hidden="1">{"'PRODUCTIONCOST SHEET'!$B$3:$G$48"}</definedName>
    <definedName name="f" hidden="1">{"'PRODUCTIONCOST SHEET'!$B$3:$G$48"}</definedName>
    <definedName name="ff" localSheetId="18" hidden="1">{#N/A,#N/A,FALSE,"PRJCTED MNTHLY QTY's"}</definedName>
    <definedName name="ff" hidden="1">{#N/A,#N/A,FALSE,"PRJCTED MNTHLY QTY's"}</definedName>
    <definedName name="fffff" localSheetId="18"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8"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8" hidden="1">#REF!</definedName>
    <definedName name="gwge" hidden="1">#REF!</definedName>
    <definedName name="HB">#REF!</definedName>
    <definedName name="hh"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8"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8" hidden="1">{"staff",#N/A,FALSE,"Current Month"}</definedName>
    <definedName name="khkjk" hidden="1">{"staff",#N/A,FALSE,"Current Month"}</definedName>
    <definedName name="l" localSheetId="18"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8" hidden="1">{#N/A,#N/A,FALSE,"DI 2 YEAR MASTER SCHEDULE"}</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8" hidden="1">{#N/A,#N/A,FALSE,"PRJCTED QTRLY $'s"}</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localSheetId="18" hidden="1">{"staff",#N/A,FALSE,"Current Month"}</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'R5a - Financing input'!$A$4:$AK$229</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Reconciliation'!$A$1:$L$99</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8"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8" hidden="1">#REF!</definedName>
    <definedName name="Rwvu.CapersView." hidden="1">#REF!</definedName>
    <definedName name="Rwvu.Japan_Capers_Ed_Pub." localSheetId="18" hidden="1">#REF!</definedName>
    <definedName name="Rwvu.Japan_Capers_Ed_Pub." hidden="1">#REF!</definedName>
    <definedName name="Rwvu.KJP_CC." localSheetId="1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8" hidden="1">#REF!</definedName>
    <definedName name="Swvu.CapersView." hidden="1">#REF!</definedName>
    <definedName name="Swvu.Japan_Capers_Ed_Pub." localSheetId="18" hidden="1">#REF!</definedName>
    <definedName name="Swvu.Japan_Capers_Ed_Pub." hidden="1">#REF!</definedName>
    <definedName name="Swvu.KJP_CC." localSheetId="18"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8" hidden="1">{#VALUE!,#N/A,FALSE,0}</definedName>
    <definedName name="u" hidden="1">{#VALUE!,#N/A,FALSE,0}</definedName>
    <definedName name="UAG" localSheetId="18"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8" hidden="1">{"Japan_Capers_Ed_Pub",#N/A,FALSE,"DI 2 YEAR MASTER SCHEDULE"}</definedName>
    <definedName name="v" hidden="1">{"Japan_Capers_Ed_Pub",#N/A,FALSE,"DI 2 YEAR MASTER SCHEDULE"}</definedName>
    <definedName name="Version__Number">'RFPR cover'!$C$10</definedName>
    <definedName name="wrn.CapersPlotter." localSheetId="18" hidden="1">{#N/A,#N/A,FALSE,"DI 2 YEAR MASTER SCHEDULE"}</definedName>
    <definedName name="wrn.CapersPlotter." hidden="1">{#N/A,#N/A,FALSE,"DI 2 YEAR MASTER SCHEDULE"}</definedName>
    <definedName name="wrn.Edutainment._.Priority._.List." localSheetId="18" hidden="1">{#N/A,#N/A,FALSE,"DI 2 YEAR MASTER SCHEDULE"}</definedName>
    <definedName name="wrn.Edutainment._.Priority._.List." hidden="1">{#N/A,#N/A,FALSE,"DI 2 YEAR MASTER SCHEDULE"}</definedName>
    <definedName name="wrn.Japan_Capers_Ed._.Pub." localSheetId="18" hidden="1">{"Japan_Capers_Ed_Pub",#N/A,FALSE,"DI 2 YEAR MASTER SCHEDULE"}</definedName>
    <definedName name="wrn.Japan_Capers_Ed._.Pub." hidden="1">{"Japan_Capers_Ed_Pub",#N/A,FALSE,"DI 2 YEAR MASTER SCHEDULE"}</definedName>
    <definedName name="wrn.Mat." localSheetId="18" hidden="1">{"staff",#N/A,FALSE,"Current Month"}</definedName>
    <definedName name="wrn.Mat." hidden="1">{"staff",#N/A,FALSE,"Current Month"}</definedName>
    <definedName name="wrn.Priority._.list." localSheetId="18" hidden="1">{#N/A,#N/A,FALSE,"DI 2 YEAR MASTER SCHEDULE"}</definedName>
    <definedName name="wrn.Priority._.list." hidden="1">{#N/A,#N/A,FALSE,"DI 2 YEAR MASTER SCHEDULE"}</definedName>
    <definedName name="wrn.Prjcted._.Mnthly._.Qtys." localSheetId="18" hidden="1">{#N/A,#N/A,FALSE,"PRJCTED MNTHLY QTY's"}</definedName>
    <definedName name="wrn.Prjcted._.Mnthly._.Qtys." hidden="1">{#N/A,#N/A,FALSE,"PRJCTED MNTHLY QTY's"}</definedName>
    <definedName name="wrn.Prjcted._.Qtrly._.Dollars." localSheetId="18" hidden="1">{#N/A,#N/A,FALSE,"PRJCTED QTRLY $'s"}</definedName>
    <definedName name="wrn.Prjcted._.Qtrly._.Dollars." hidden="1">{#N/A,#N/A,FALSE,"PRJCTED QTRLY $'s"}</definedName>
    <definedName name="wrn.Prjcted._.Qtrly._.Qtys." localSheetId="18"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8" hidden="1">{#N/A,#N/A,FALSE,"DI 2 YEAR MASTER SCHEDULE"}</definedName>
    <definedName name="x" hidden="1">{#N/A,#N/A,FALSE,"DI 2 YEAR MASTER SCHEDULE"}</definedName>
    <definedName name="y" localSheetId="1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4">#REF!</definedName>
    <definedName name="YEFactor_change">Data!$F$35:$L$35</definedName>
    <definedName name="z" localSheetId="18"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8"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2" l="1"/>
  <c r="F151" i="2"/>
  <c r="D151" i="2"/>
  <c r="E73" i="1" l="1"/>
  <c r="F73" i="1"/>
  <c r="G73" i="1"/>
  <c r="H73" i="1"/>
  <c r="D73" i="1"/>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C6" i="13" l="1" a="1"/>
  <c r="C6" i="13" s="1"/>
  <c r="J19" i="5"/>
  <c r="J20" i="5"/>
  <c r="H22" i="35" l="1"/>
  <c r="B12" i="27" l="1"/>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E69" i="4" l="1"/>
  <c r="F69" i="4"/>
  <c r="E68" i="4"/>
  <c r="D129" i="2" l="1"/>
  <c r="G151" i="2"/>
  <c r="H151"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L40" i="37"/>
  <c r="I21" i="36" s="1"/>
  <c r="L39" i="37"/>
  <c r="I20" i="36" s="1"/>
  <c r="L38" i="37"/>
  <c r="I19" i="36" s="1"/>
  <c r="L37" i="37"/>
  <c r="I18" i="36" s="1"/>
  <c r="L36" i="37"/>
  <c r="I17" i="36" s="1"/>
  <c r="L35" i="37"/>
  <c r="I16" i="36" s="1"/>
  <c r="L34" i="37"/>
  <c r="I15" i="36" s="1"/>
  <c r="L33" i="37"/>
  <c r="I14" i="36" s="1"/>
  <c r="L32" i="37"/>
  <c r="I13" i="36" s="1"/>
  <c r="T11" i="37"/>
  <c r="O9" i="37"/>
  <c r="A3" i="37"/>
  <c r="A2" i="37"/>
  <c r="X81" i="36"/>
  <c r="X82" i="36" s="1"/>
  <c r="X87" i="36" s="1"/>
  <c r="X91" i="36" s="1"/>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3" i="36" s="1"/>
  <c r="B16" i="36"/>
  <c r="B81" i="36" s="1"/>
  <c r="C15" i="36"/>
  <c r="C44" i="36" s="1"/>
  <c r="B15" i="36"/>
  <c r="B44" i="36" s="1"/>
  <c r="C14" i="36"/>
  <c r="C27" i="36" s="1"/>
  <c r="C143" i="36" s="1"/>
  <c r="B14" i="36"/>
  <c r="B27" i="36" s="1"/>
  <c r="B143" i="36" s="1"/>
  <c r="C13" i="36"/>
  <c r="C42" i="36" s="1"/>
  <c r="B13" i="36"/>
  <c r="B42" i="36" s="1"/>
  <c r="N9" i="36"/>
  <c r="N8" i="36" s="1"/>
  <c r="H9" i="36"/>
  <c r="A3" i="36"/>
  <c r="A2" i="36"/>
  <c r="E6" i="44" l="1"/>
  <c r="B6" i="44"/>
  <c r="F6" i="44"/>
  <c r="X59" i="36"/>
  <c r="X75" i="36" s="1"/>
  <c r="X90" i="36" s="1"/>
  <c r="A7" i="44"/>
  <c r="C43" i="36"/>
  <c r="C46" i="36"/>
  <c r="C81" i="36"/>
  <c r="B34" i="36"/>
  <c r="B148" i="36" s="1"/>
  <c r="B26" i="36"/>
  <c r="B142" i="36" s="1"/>
  <c r="U9" i="37"/>
  <c r="U8" i="37" s="1"/>
  <c r="C48" i="36"/>
  <c r="T10" i="37"/>
  <c r="B29" i="36"/>
  <c r="B163" i="36" s="1"/>
  <c r="B28" i="36"/>
  <c r="B144" i="36" s="1"/>
  <c r="B30" i="36"/>
  <c r="B145" i="36" s="1"/>
  <c r="X92" i="36"/>
  <c r="C28" i="36"/>
  <c r="C144" i="36" s="1"/>
  <c r="B46" i="36"/>
  <c r="O9" i="36"/>
  <c r="O8" i="36" s="1"/>
  <c r="B43" i="36"/>
  <c r="C26" i="36"/>
  <c r="C142" i="36" s="1"/>
  <c r="C30" i="36"/>
  <c r="C145" i="36" s="1"/>
  <c r="E7" i="44" l="1"/>
  <c r="A8" i="44"/>
  <c r="F7" i="44"/>
  <c r="B7" i="44"/>
  <c r="V9" i="37"/>
  <c r="V8" i="37" s="1"/>
  <c r="U11" i="37"/>
  <c r="U10" i="37"/>
  <c r="E8" i="44"/>
  <c r="F8" i="44"/>
  <c r="B8" i="44"/>
  <c r="A9" i="44"/>
  <c r="P9" i="36"/>
  <c r="P8" i="36" s="1"/>
  <c r="W9" i="37" l="1"/>
  <c r="W8" i="37" s="1"/>
  <c r="V10" i="37"/>
  <c r="V11" i="37"/>
  <c r="F9" i="44"/>
  <c r="B9" i="44"/>
  <c r="A10" i="44"/>
  <c r="E9" i="44"/>
  <c r="Q9" i="36"/>
  <c r="Q8" i="36" s="1"/>
  <c r="X9" i="37" l="1"/>
  <c r="X8" i="37" s="1"/>
  <c r="W10" i="37"/>
  <c r="W11" i="37"/>
  <c r="E10" i="44"/>
  <c r="F10" i="44"/>
  <c r="B10" i="44"/>
  <c r="A11" i="44"/>
  <c r="R9" i="36"/>
  <c r="R8" i="36" s="1"/>
  <c r="Y9" i="37" l="1"/>
  <c r="Y8" i="37" s="1"/>
  <c r="X10" i="37"/>
  <c r="X11" i="37"/>
  <c r="F11" i="44"/>
  <c r="E11" i="44"/>
  <c r="B11" i="44"/>
  <c r="A12" i="44"/>
  <c r="S9" i="36"/>
  <c r="S8" i="36" s="1"/>
  <c r="Z9" i="37" l="1"/>
  <c r="Z8" i="37" s="1"/>
  <c r="Y10" i="37"/>
  <c r="Y11" i="37"/>
  <c r="T9" i="36"/>
  <c r="T8" i="36" s="1"/>
  <c r="A13" i="44"/>
  <c r="F12" i="44"/>
  <c r="E12" i="44"/>
  <c r="B12" i="44"/>
  <c r="AA9" i="37" l="1"/>
  <c r="AA8" i="37" s="1"/>
  <c r="Z10" i="37"/>
  <c r="Z11" i="37"/>
  <c r="U9" i="36"/>
  <c r="U8" i="36" s="1"/>
  <c r="A14" i="44"/>
  <c r="F13" i="44"/>
  <c r="E13" i="44"/>
  <c r="B13" i="44"/>
  <c r="AA11" i="37" l="1"/>
  <c r="AB9" i="37"/>
  <c r="AB8" i="37" s="1"/>
  <c r="AA10" i="37"/>
  <c r="V9" i="36"/>
  <c r="V8" i="36" s="1"/>
  <c r="E14" i="44"/>
  <c r="B14" i="44"/>
  <c r="A15" i="44"/>
  <c r="F14" i="44"/>
  <c r="AB11" i="37" l="1"/>
  <c r="AC9" i="37"/>
  <c r="AC8" i="37" s="1"/>
  <c r="AB10" i="37"/>
  <c r="B15" i="44"/>
  <c r="A16" i="44"/>
  <c r="F15" i="44"/>
  <c r="E15" i="44"/>
  <c r="AC10" i="37" l="1"/>
  <c r="AC11" i="37"/>
  <c r="E16" i="44"/>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F313" i="44"/>
  <c r="H313" i="44"/>
  <c r="B313" i="44"/>
  <c r="A314" i="44"/>
  <c r="G313"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A365" i="44"/>
  <c r="G364"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E368" i="44"/>
  <c r="G368" i="44" s="1"/>
  <c r="H368" i="44"/>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F390" i="44"/>
  <c r="B390" i="44"/>
  <c r="G390" i="44"/>
  <c r="A391" i="44"/>
  <c r="H390"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J24" i="2" l="1"/>
  <c r="J25" i="2"/>
  <c r="J26" i="2"/>
  <c r="J27" i="2"/>
  <c r="J28" i="2"/>
  <c r="E195" i="2" l="1"/>
  <c r="F195" i="2"/>
  <c r="G195" i="2"/>
  <c r="H195" i="2"/>
  <c r="D195" i="2"/>
  <c r="E22" i="35" l="1"/>
  <c r="B11" i="35"/>
  <c r="J87" i="35" l="1"/>
  <c r="J91" i="35"/>
  <c r="J86" i="35"/>
  <c r="J88" i="35"/>
  <c r="J89" i="35"/>
  <c r="J90" i="35"/>
  <c r="J77" i="35"/>
  <c r="J70" i="35"/>
  <c r="J57" i="35"/>
  <c r="J78" i="35"/>
  <c r="J50" i="35"/>
  <c r="J58" i="35"/>
  <c r="J79" i="35"/>
  <c r="J59" i="35"/>
  <c r="J52" i="35"/>
  <c r="J53" i="35"/>
  <c r="J67" i="35"/>
  <c r="J69" i="35"/>
  <c r="J51" i="35"/>
  <c r="J61" i="35"/>
  <c r="J75" i="35"/>
  <c r="J60" i="35"/>
  <c r="J54" i="35"/>
  <c r="J68" i="35"/>
  <c r="J56" i="35"/>
  <c r="J74" i="35"/>
  <c r="J76" i="35"/>
  <c r="J73" i="35"/>
  <c r="J49" i="35"/>
  <c r="E31" i="35"/>
  <c r="E44" i="35" l="1"/>
  <c r="E81" i="35" l="1"/>
  <c r="E93" i="35" s="1"/>
  <c r="E95" i="35" l="1"/>
  <c r="D58" i="5" l="1"/>
  <c r="B3" i="3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E65" i="11"/>
  <c r="F65" i="11"/>
  <c r="G65" i="11"/>
  <c r="H65" i="11"/>
  <c r="E64" i="11"/>
  <c r="F64" i="11"/>
  <c r="G64" i="11"/>
  <c r="H64" i="11"/>
  <c r="D7" i="2"/>
  <c r="J64" i="2" l="1"/>
  <c r="J35" i="2"/>
  <c r="B5" i="35"/>
  <c r="E57" i="11" l="1"/>
  <c r="F57" i="11"/>
  <c r="G57" i="11"/>
  <c r="H57" i="11"/>
  <c r="D57" i="11"/>
  <c r="F33" i="28" l="1"/>
  <c r="E59" i="5"/>
  <c r="F59" i="5"/>
  <c r="G59" i="5"/>
  <c r="H59" i="5"/>
  <c r="D52" i="5"/>
  <c r="E45" i="5"/>
  <c r="F45" i="5"/>
  <c r="G45" i="5"/>
  <c r="H45" i="5"/>
  <c r="D45" i="5"/>
  <c r="J45" i="5" l="1"/>
  <c r="J59" i="5"/>
  <c r="E32" i="28"/>
  <c r="E21" i="4" l="1"/>
  <c r="B76" i="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30" i="2"/>
  <c r="F30" i="2"/>
  <c r="G30" i="2"/>
  <c r="H30" i="2"/>
  <c r="G23" i="10" l="1"/>
  <c r="H23" i="10"/>
  <c r="I23" i="10"/>
  <c r="J23" i="10"/>
  <c r="F23" i="10"/>
  <c r="G20" i="10"/>
  <c r="H20" i="10"/>
  <c r="I20" i="10"/>
  <c r="J20" i="10"/>
  <c r="F20" i="10"/>
  <c r="E160" i="2" l="1"/>
  <c r="E161" i="2" s="1"/>
  <c r="F160" i="2"/>
  <c r="F161" i="2" s="1"/>
  <c r="G160" i="2"/>
  <c r="G161" i="2" s="1"/>
  <c r="H160" i="2"/>
  <c r="H161" i="2" s="1"/>
  <c r="F75" i="4"/>
  <c r="G75" i="4"/>
  <c r="E75" i="4"/>
  <c r="D160" i="2"/>
  <c r="D161" i="2" s="1"/>
  <c r="I75" i="4" l="1"/>
  <c r="H75" i="4"/>
  <c r="F96" i="4" l="1"/>
  <c r="G96" i="4"/>
  <c r="H96" i="4"/>
  <c r="I96" i="4"/>
  <c r="F89" i="4"/>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B3" i="1" l="1"/>
  <c r="G69" i="4" l="1"/>
  <c r="H69" i="4"/>
  <c r="I69" i="4"/>
  <c r="E89" i="4"/>
  <c r="E91" i="4" s="1"/>
  <c r="D61" i="11" l="1"/>
  <c r="F68" i="4" l="1"/>
  <c r="G68" i="4"/>
  <c r="H68" i="4"/>
  <c r="I68" i="4"/>
  <c r="B3" i="17" l="1"/>
  <c r="B3" i="27" l="1"/>
  <c r="C8" i="28"/>
  <c r="H36" i="10" s="1"/>
  <c r="E17" i="2"/>
  <c r="E38" i="2" s="1"/>
  <c r="E51" i="2"/>
  <c r="E67" i="2" s="1"/>
  <c r="E80" i="2"/>
  <c r="D6" i="5"/>
  <c r="C8" i="13"/>
  <c r="E34" i="28" s="1"/>
  <c r="F17" i="2"/>
  <c r="F38" i="2" s="1"/>
  <c r="F51" i="2"/>
  <c r="F67" i="2" s="1"/>
  <c r="F80" i="2"/>
  <c r="G17" i="2"/>
  <c r="G38" i="2" s="1"/>
  <c r="G51" i="2"/>
  <c r="G67" i="2" s="1"/>
  <c r="G80" i="2"/>
  <c r="H17" i="2"/>
  <c r="H38" i="2" s="1"/>
  <c r="H51" i="2"/>
  <c r="H67" i="2" s="1"/>
  <c r="H80" i="2"/>
  <c r="D17" i="2"/>
  <c r="D51" i="2"/>
  <c r="D67" i="2" s="1"/>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1" i="11"/>
  <c r="F61" i="11"/>
  <c r="G61" i="11"/>
  <c r="H61"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A3" i="13"/>
  <c r="D60" i="19"/>
  <c r="E60" i="19"/>
  <c r="F60" i="19"/>
  <c r="F62" i="19"/>
  <c r="G60" i="19"/>
  <c r="G62" i="19"/>
  <c r="H60" i="19"/>
  <c r="H62" i="19"/>
  <c r="D62" i="19"/>
  <c r="E62" i="19"/>
  <c r="D67" i="19"/>
  <c r="E67" i="19"/>
  <c r="F67" i="19"/>
  <c r="G67" i="19"/>
  <c r="H67" i="19"/>
  <c r="E46" i="11"/>
  <c r="F46" i="11"/>
  <c r="G46" i="11"/>
  <c r="H46" i="11"/>
  <c r="D46" i="11"/>
  <c r="D65" i="11" s="1"/>
  <c r="E34" i="11"/>
  <c r="F34" i="11"/>
  <c r="G34" i="11"/>
  <c r="H34" i="11"/>
  <c r="D34" i="11"/>
  <c r="E42" i="11"/>
  <c r="F42" i="11"/>
  <c r="G42" i="11"/>
  <c r="H42" i="11"/>
  <c r="D42" i="11"/>
  <c r="E44" i="5"/>
  <c r="F44" i="5"/>
  <c r="G44" i="5"/>
  <c r="H44" i="5"/>
  <c r="D122" i="2"/>
  <c r="D131" i="2" s="1"/>
  <c r="E122" i="2"/>
  <c r="E131" i="2" s="1"/>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D40" i="19"/>
  <c r="D39" i="19"/>
  <c r="H23" i="19"/>
  <c r="G23" i="19"/>
  <c r="F23" i="19"/>
  <c r="E23" i="19"/>
  <c r="D23" i="19"/>
  <c r="H16" i="11"/>
  <c r="G16" i="11"/>
  <c r="F16" i="11"/>
  <c r="E16" i="11"/>
  <c r="D16" i="11"/>
  <c r="F17" i="10"/>
  <c r="I6" i="17"/>
  <c r="I5" i="17" s="1"/>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D6" i="17"/>
  <c r="D5" i="17" s="1"/>
  <c r="D6" i="19"/>
  <c r="D5" i="19" s="1"/>
  <c r="D6" i="2"/>
  <c r="D6" i="11"/>
  <c r="D5" i="11" s="1"/>
  <c r="D6" i="27"/>
  <c r="D5" i="27" s="1"/>
  <c r="F6" i="10"/>
  <c r="F5" i="10" s="1"/>
  <c r="B21" i="1"/>
  <c r="F21" i="4"/>
  <c r="G21" i="4"/>
  <c r="H21" i="4"/>
  <c r="I21" i="4"/>
  <c r="F34" i="28" l="1"/>
  <c r="D166" i="2" s="1"/>
  <c r="D167" i="2" s="1"/>
  <c r="G34" i="28"/>
  <c r="H34" i="28"/>
  <c r="I34" i="28"/>
  <c r="J34" i="28"/>
  <c r="K34" i="28"/>
  <c r="L34" i="28"/>
  <c r="F30" i="10"/>
  <c r="E134" i="28"/>
  <c r="F134" i="28" s="1"/>
  <c r="C15" i="4"/>
  <c r="E58" i="4"/>
  <c r="B15" i="4"/>
  <c r="C13" i="4"/>
  <c r="F36" i="28"/>
  <c r="F35" i="28"/>
  <c r="E35" i="28"/>
  <c r="E36" i="28"/>
  <c r="H87" i="28"/>
  <c r="H89" i="28"/>
  <c r="D12" i="5"/>
  <c r="E6" i="27"/>
  <c r="F6" i="27" s="1"/>
  <c r="F5" i="27" s="1"/>
  <c r="J22" i="5"/>
  <c r="J71" i="5"/>
  <c r="E131" i="28"/>
  <c r="F131" i="28" s="1"/>
  <c r="D38" i="2"/>
  <c r="D19" i="2"/>
  <c r="B4" i="35"/>
  <c r="J44" i="5"/>
  <c r="L20" i="28"/>
  <c r="F24" i="10"/>
  <c r="B45" i="2"/>
  <c r="B11" i="2"/>
  <c r="E6" i="19"/>
  <c r="E5" i="19" s="1"/>
  <c r="D51" i="19"/>
  <c r="D5" i="1"/>
  <c r="A3" i="44"/>
  <c r="A3" i="43"/>
  <c r="D5" i="2"/>
  <c r="E78" i="4"/>
  <c r="E79" i="4" s="1"/>
  <c r="E203" i="28"/>
  <c r="J62" i="28"/>
  <c r="J81" i="28" s="1"/>
  <c r="I87" i="28"/>
  <c r="Q62" i="28"/>
  <c r="Q76" i="28" s="1"/>
  <c r="P87" i="28"/>
  <c r="E19" i="2"/>
  <c r="C164" i="2"/>
  <c r="H78" i="4"/>
  <c r="H79" i="4" s="1"/>
  <c r="I81" i="4"/>
  <c r="I93" i="4" s="1"/>
  <c r="I78" i="4"/>
  <c r="I79" i="4" s="1"/>
  <c r="G81" i="4"/>
  <c r="G93" i="4" s="1"/>
  <c r="G78" i="4"/>
  <c r="G79" i="4" s="1"/>
  <c r="F78" i="4"/>
  <c r="F79" i="4" s="1"/>
  <c r="E6" i="5"/>
  <c r="E12" i="5" s="1"/>
  <c r="E67" i="1" s="1"/>
  <c r="D5" i="5"/>
  <c r="D90" i="2"/>
  <c r="D91" i="2"/>
  <c r="G90" i="2"/>
  <c r="G91" i="2"/>
  <c r="E91" i="2"/>
  <c r="E90" i="2"/>
  <c r="H91" i="2"/>
  <c r="H90" i="2"/>
  <c r="F90" i="2"/>
  <c r="F91" i="2"/>
  <c r="D66" i="2"/>
  <c r="G66" i="2"/>
  <c r="E66" i="2"/>
  <c r="H66" i="2"/>
  <c r="F66" i="2"/>
  <c r="F37" i="2"/>
  <c r="H37" i="2"/>
  <c r="D37" i="2"/>
  <c r="G37" i="2"/>
  <c r="E37" i="2"/>
  <c r="F6" i="4"/>
  <c r="F66" i="4" s="1"/>
  <c r="H163" i="2"/>
  <c r="H197" i="2" s="1"/>
  <c r="F82" i="2"/>
  <c r="F97" i="4"/>
  <c r="E96" i="4"/>
  <c r="H97" i="4"/>
  <c r="G45" i="11"/>
  <c r="D45" i="11"/>
  <c r="D64" i="11" s="1"/>
  <c r="F45" i="11"/>
  <c r="E45" i="11"/>
  <c r="H45" i="11"/>
  <c r="B20" i="1"/>
  <c r="H20" i="2"/>
  <c r="H42" i="2" s="1"/>
  <c r="J49" i="2"/>
  <c r="F19" i="2"/>
  <c r="H83" i="2"/>
  <c r="G83" i="2"/>
  <c r="E83" i="2"/>
  <c r="J15" i="2"/>
  <c r="J78" i="2"/>
  <c r="D163" i="2"/>
  <c r="D197" i="2" s="1"/>
  <c r="G20" i="2"/>
  <c r="G42" i="2" s="1"/>
  <c r="E20" i="2"/>
  <c r="E42" i="2" s="1"/>
  <c r="F83" i="2"/>
  <c r="H54" i="2"/>
  <c r="H71" i="2" s="1"/>
  <c r="F54" i="2"/>
  <c r="F6" i="29"/>
  <c r="F5" i="29" s="1"/>
  <c r="D54" i="2"/>
  <c r="D53" i="2"/>
  <c r="D82" i="2"/>
  <c r="G6" i="10"/>
  <c r="G5" i="10" s="1"/>
  <c r="E6" i="17"/>
  <c r="E5" i="17" s="1"/>
  <c r="E6" i="2"/>
  <c r="E166" i="2" s="1"/>
  <c r="E167" i="2" s="1"/>
  <c r="E6" i="11"/>
  <c r="E51" i="19"/>
  <c r="F32" i="28"/>
  <c r="E66" i="4"/>
  <c r="E5" i="4"/>
  <c r="G52" i="19"/>
  <c r="G33" i="28"/>
  <c r="G36" i="28" s="1"/>
  <c r="E109" i="2"/>
  <c r="E108" i="2" s="1"/>
  <c r="G82" i="2"/>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58" i="4"/>
  <c r="H60" i="4" s="1"/>
  <c r="F58" i="4"/>
  <c r="F60" i="4" s="1"/>
  <c r="I58" i="4"/>
  <c r="I60" i="4" s="1"/>
  <c r="G58" i="4"/>
  <c r="G60" i="4" s="1"/>
  <c r="E60" i="4"/>
  <c r="B48" i="1"/>
  <c r="G19" i="2"/>
  <c r="H82" i="2"/>
  <c r="E136" i="28"/>
  <c r="F136" i="28" s="1"/>
  <c r="D20" i="2"/>
  <c r="H19" i="2"/>
  <c r="E82" i="2"/>
  <c r="D83" i="2"/>
  <c r="H53" i="2"/>
  <c r="J36" i="10"/>
  <c r="I36" i="10"/>
  <c r="F53" i="2"/>
  <c r="E135" i="28"/>
  <c r="F135" i="28" s="1"/>
  <c r="E202" i="28"/>
  <c r="E199" i="28"/>
  <c r="G36" i="10"/>
  <c r="F20" i="2"/>
  <c r="F42" i="2" s="1"/>
  <c r="G54" i="2"/>
  <c r="G71" i="2" s="1"/>
  <c r="G53" i="2"/>
  <c r="E196" i="28"/>
  <c r="B128" i="28"/>
  <c r="E195" i="28"/>
  <c r="E201" i="28"/>
  <c r="E138" i="28"/>
  <c r="F138" i="28" s="1"/>
  <c r="E137" i="28"/>
  <c r="F137" i="28" s="1"/>
  <c r="E198" i="28"/>
  <c r="E200" i="28"/>
  <c r="E132" i="28"/>
  <c r="F132" i="28" s="1"/>
  <c r="E133" i="28"/>
  <c r="F133" i="28" s="1"/>
  <c r="E197" i="28"/>
  <c r="E54" i="2"/>
  <c r="E53" i="2"/>
  <c r="F36" i="10"/>
  <c r="B135" i="28" l="1"/>
  <c r="B136" i="28"/>
  <c r="B137" i="28"/>
  <c r="B19" i="5" s="1"/>
  <c r="B73" i="1" s="1"/>
  <c r="B134" i="28"/>
  <c r="B16" i="5" s="1"/>
  <c r="B70" i="1" s="1"/>
  <c r="B138" i="28"/>
  <c r="B20" i="5" s="1"/>
  <c r="B139" i="28"/>
  <c r="B21" i="5" s="1"/>
  <c r="B132" i="28"/>
  <c r="B14" i="5" s="1"/>
  <c r="B68" i="1" s="1"/>
  <c r="B133" i="28"/>
  <c r="B15" i="5" s="1"/>
  <c r="B69" i="1" s="1"/>
  <c r="E5" i="27"/>
  <c r="G6" i="27"/>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G16" i="35"/>
  <c r="G17" i="35"/>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F27" i="10"/>
  <c r="M20" i="28"/>
  <c r="N20" i="28" s="1"/>
  <c r="G15" i="10"/>
  <c r="G17" i="10" s="1"/>
  <c r="G24" i="10"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J66" i="35"/>
  <c r="J25" i="35"/>
  <c r="J24" i="35"/>
  <c r="J65" i="35"/>
  <c r="J55" i="35"/>
  <c r="J64" i="35"/>
  <c r="Q90" i="28"/>
  <c r="Q72" i="28"/>
  <c r="Q70" i="28"/>
  <c r="Q68" i="28"/>
  <c r="Q88" i="28"/>
  <c r="Q82" i="28"/>
  <c r="Q80" i="28"/>
  <c r="H6" i="10"/>
  <c r="H5" i="10" s="1"/>
  <c r="G27" i="10"/>
  <c r="J73" i="1"/>
  <c r="Q78" i="28"/>
  <c r="Q75" i="28"/>
  <c r="Q64" i="28"/>
  <c r="Q81" i="28"/>
  <c r="Q67" i="28"/>
  <c r="Q77" i="28"/>
  <c r="Q79" i="28"/>
  <c r="Q73" i="28"/>
  <c r="Q83" i="28"/>
  <c r="Q66" i="28"/>
  <c r="Q74" i="28"/>
  <c r="Q63" i="28"/>
  <c r="Q71" i="28"/>
  <c r="Q65" i="28"/>
  <c r="Q86" i="28"/>
  <c r="Q91" i="28"/>
  <c r="Q69" i="28"/>
  <c r="Q85" i="28"/>
  <c r="Q84" i="28"/>
  <c r="Q89" i="28"/>
  <c r="J69" i="28"/>
  <c r="J63" i="28"/>
  <c r="J85" i="28"/>
  <c r="G25" i="35"/>
  <c r="G65" i="35"/>
  <c r="G18" i="35"/>
  <c r="H41" i="2"/>
  <c r="E82" i="4"/>
  <c r="E94" i="4" s="1"/>
  <c r="G64" i="35"/>
  <c r="G24" i="35"/>
  <c r="C98" i="35"/>
  <c r="G86" i="35"/>
  <c r="G66" i="35"/>
  <c r="G87" i="35"/>
  <c r="G19" i="35"/>
  <c r="G88" i="35"/>
  <c r="G55" i="35"/>
  <c r="G90" i="35"/>
  <c r="G89" i="35"/>
  <c r="G41" i="2"/>
  <c r="C35" i="2"/>
  <c r="C9" i="43"/>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I97" i="4"/>
  <c r="I98" i="4" s="1"/>
  <c r="G97" i="4"/>
  <c r="G98" i="4" s="1"/>
  <c r="J79" i="28"/>
  <c r="J82" i="28"/>
  <c r="J74" i="28"/>
  <c r="J90" i="28"/>
  <c r="J84" i="28"/>
  <c r="J86" i="28"/>
  <c r="J89" i="28"/>
  <c r="H82" i="4"/>
  <c r="F82" i="4"/>
  <c r="G82" i="4"/>
  <c r="I82" i="4"/>
  <c r="F41" i="2"/>
  <c r="E41" i="2"/>
  <c r="E43" i="2" s="1"/>
  <c r="H97" i="35"/>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C72" i="27"/>
  <c r="D67" i="29"/>
  <c r="D69" i="29"/>
  <c r="C23" i="19"/>
  <c r="C71" i="17"/>
  <c r="C94" i="2"/>
  <c r="C66" i="5"/>
  <c r="C12" i="5"/>
  <c r="C15" i="2"/>
  <c r="E20" i="10"/>
  <c r="C103" i="2"/>
  <c r="C44" i="17"/>
  <c r="C19" i="2"/>
  <c r="C22" i="5"/>
  <c r="C82" i="2"/>
  <c r="C87" i="17"/>
  <c r="C14" i="5"/>
  <c r="C96" i="2"/>
  <c r="C87" i="1"/>
  <c r="C83" i="17"/>
  <c r="E43" i="10"/>
  <c r="C48" i="2"/>
  <c r="C16" i="5"/>
  <c r="C71" i="5"/>
  <c r="C72" i="2"/>
  <c r="C73" i="27"/>
  <c r="D64" i="29"/>
  <c r="E12" i="10"/>
  <c r="D70" i="29"/>
  <c r="C68" i="5"/>
  <c r="C80" i="1"/>
  <c r="C70" i="17"/>
  <c r="C82" i="1"/>
  <c r="C14" i="2"/>
  <c r="C85" i="1"/>
  <c r="E19" i="10"/>
  <c r="C43" i="2"/>
  <c r="E40" i="10"/>
  <c r="E41" i="10"/>
  <c r="D62" i="29"/>
  <c r="E39" i="10"/>
  <c r="E44" i="10"/>
  <c r="C56" i="5"/>
  <c r="C70" i="1"/>
  <c r="D40" i="29"/>
  <c r="C79" i="1"/>
  <c r="C75" i="1"/>
  <c r="C54" i="2"/>
  <c r="C78" i="2"/>
  <c r="C66" i="1"/>
  <c r="C21" i="19"/>
  <c r="E21" i="10"/>
  <c r="C84" i="1"/>
  <c r="C88" i="2"/>
  <c r="C49" i="2"/>
  <c r="C69" i="5"/>
  <c r="E45" i="10"/>
  <c r="C76" i="2"/>
  <c r="E18" i="10"/>
  <c r="C77" i="2"/>
  <c r="C74" i="27"/>
  <c r="C91" i="1"/>
  <c r="C20" i="2"/>
  <c r="C18" i="19"/>
  <c r="E23" i="10"/>
  <c r="C85" i="17"/>
  <c r="C57" i="2"/>
  <c r="C15" i="5"/>
  <c r="C70" i="5"/>
  <c r="C77" i="1"/>
  <c r="C69" i="1"/>
  <c r="C90" i="1"/>
  <c r="C59" i="2"/>
  <c r="C17" i="5"/>
  <c r="C77" i="17"/>
  <c r="C74" i="1"/>
  <c r="C57" i="17"/>
  <c r="C45" i="5"/>
  <c r="D60" i="29"/>
  <c r="C67" i="1"/>
  <c r="E22" i="10"/>
  <c r="C88" i="1"/>
  <c r="E24" i="10"/>
  <c r="C68" i="1"/>
  <c r="C83" i="2"/>
  <c r="C53" i="2"/>
  <c r="C47" i="2"/>
  <c r="C87" i="2"/>
  <c r="B63" i="1"/>
  <c r="C73" i="1"/>
  <c r="C65" i="1"/>
  <c r="C18" i="5"/>
  <c r="E17" i="10"/>
  <c r="E15" i="10"/>
  <c r="D56" i="29"/>
  <c r="C86" i="1"/>
  <c r="D52"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102" i="2" s="1"/>
  <c r="H66" i="1" s="1"/>
  <c r="H81" i="4"/>
  <c r="H93" i="4" s="1"/>
  <c r="F81" i="4"/>
  <c r="F93" i="4" s="1"/>
  <c r="F106" i="4" s="1"/>
  <c r="E95" i="2"/>
  <c r="E97" i="35"/>
  <c r="E98" i="35" s="1"/>
  <c r="D97" i="35"/>
  <c r="F5" i="4"/>
  <c r="G6" i="4"/>
  <c r="D16" i="35" s="1"/>
  <c r="J16" i="35" s="1"/>
  <c r="E71" i="2"/>
  <c r="D41" i="2"/>
  <c r="F95" i="2"/>
  <c r="G95" i="2"/>
  <c r="G102" i="2" s="1"/>
  <c r="G66" i="1" s="1"/>
  <c r="D42" i="2"/>
  <c r="E76" i="1"/>
  <c r="D76" i="1"/>
  <c r="G6" i="1"/>
  <c r="G5" i="1" s="1"/>
  <c r="E5" i="1"/>
  <c r="E5" i="5"/>
  <c r="E74" i="1"/>
  <c r="D95" i="2"/>
  <c r="D94" i="2"/>
  <c r="E94" i="2"/>
  <c r="F94" i="2"/>
  <c r="G94" i="2"/>
  <c r="H94" i="2"/>
  <c r="J91" i="2"/>
  <c r="F71" i="2"/>
  <c r="J90" i="2"/>
  <c r="J38" i="2"/>
  <c r="F70" i="2"/>
  <c r="E70" i="2"/>
  <c r="H70" i="2"/>
  <c r="G70" i="2"/>
  <c r="G72" i="2" s="1"/>
  <c r="D71" i="2"/>
  <c r="J67" i="2"/>
  <c r="D70" i="2"/>
  <c r="J66" i="2"/>
  <c r="J37" i="2"/>
  <c r="G106" i="4"/>
  <c r="G163" i="2"/>
  <c r="G197" i="2" s="1"/>
  <c r="F163" i="2"/>
  <c r="F197" i="2" s="1"/>
  <c r="E163" i="2"/>
  <c r="E197" i="2" s="1"/>
  <c r="E199" i="2" s="1"/>
  <c r="H98" i="4"/>
  <c r="F98" i="4"/>
  <c r="E97" i="4"/>
  <c r="E98" i="4" s="1"/>
  <c r="G6" i="29"/>
  <c r="G5" i="29" s="1"/>
  <c r="E5" i="2"/>
  <c r="F6" i="2"/>
  <c r="F6" i="17"/>
  <c r="G5" i="27"/>
  <c r="H6" i="27"/>
  <c r="H5" i="27" s="1"/>
  <c r="E5" i="11"/>
  <c r="F6" i="11"/>
  <c r="F109" i="2"/>
  <c r="G32" i="28"/>
  <c r="H33" i="28"/>
  <c r="H52" i="19"/>
  <c r="H51" i="19" s="1"/>
  <c r="G51" i="19"/>
  <c r="J82" i="2"/>
  <c r="J19" i="2"/>
  <c r="I54" i="28"/>
  <c r="B18" i="5"/>
  <c r="B72" i="1" s="1"/>
  <c r="B17" i="5"/>
  <c r="B71" i="1" s="1"/>
  <c r="J83" i="2"/>
  <c r="J20" i="2"/>
  <c r="H15" i="4"/>
  <c r="D75" i="1"/>
  <c r="D74" i="1"/>
  <c r="E15" i="4"/>
  <c r="E19" i="4" s="1"/>
  <c r="J54" i="2"/>
  <c r="G15" i="4"/>
  <c r="G19" i="4" s="1"/>
  <c r="F15" i="4"/>
  <c r="F19" i="4" s="1"/>
  <c r="J53" i="2"/>
  <c r="I15" i="4"/>
  <c r="I62" i="2" l="1"/>
  <c r="F166" i="2"/>
  <c r="F167" i="2" s="1"/>
  <c r="G6" i="19"/>
  <c r="G5" i="19" s="1"/>
  <c r="H36" i="28"/>
  <c r="F32" i="10" s="1"/>
  <c r="H35" i="28"/>
  <c r="D199" i="2"/>
  <c r="D198" i="2"/>
  <c r="I68" i="5"/>
  <c r="I69" i="5"/>
  <c r="I42" i="5"/>
  <c r="F12" i="5"/>
  <c r="I12" i="5" s="1"/>
  <c r="I59" i="5"/>
  <c r="I18" i="5"/>
  <c r="C6" i="28"/>
  <c r="I16" i="5"/>
  <c r="I57" i="5"/>
  <c r="I56" i="5"/>
  <c r="F5" i="5"/>
  <c r="I58" i="5"/>
  <c r="I71" i="5"/>
  <c r="G6" i="5"/>
  <c r="I44" i="5"/>
  <c r="I66" i="5"/>
  <c r="I67" i="5"/>
  <c r="I21" i="5"/>
  <c r="I45" i="5"/>
  <c r="I43" i="5"/>
  <c r="I17" i="5"/>
  <c r="I35" i="2"/>
  <c r="I38" i="2"/>
  <c r="I26" i="2"/>
  <c r="I34" i="2"/>
  <c r="I86" i="2"/>
  <c r="I27" i="2"/>
  <c r="I88" i="2"/>
  <c r="I24" i="2"/>
  <c r="I66" i="2"/>
  <c r="I67" i="2"/>
  <c r="I87" i="2"/>
  <c r="H6" i="19"/>
  <c r="H5" i="19" s="1"/>
  <c r="I63" i="2"/>
  <c r="I37" i="2"/>
  <c r="I59" i="2"/>
  <c r="I42" i="2"/>
  <c r="I57" i="2"/>
  <c r="I64" i="2"/>
  <c r="I28" i="2"/>
  <c r="I25" i="2"/>
  <c r="I14" i="5"/>
  <c r="I19" i="5"/>
  <c r="I90" i="2"/>
  <c r="I29" i="2"/>
  <c r="I33" i="2"/>
  <c r="I55" i="5"/>
  <c r="I20" i="5"/>
  <c r="I70" i="5"/>
  <c r="I41" i="5"/>
  <c r="I58" i="2"/>
  <c r="I23" i="2"/>
  <c r="I30" i="2"/>
  <c r="I22" i="5"/>
  <c r="F34" i="10"/>
  <c r="F35" i="10"/>
  <c r="H6" i="1"/>
  <c r="H5" i="1" s="1"/>
  <c r="C10" i="28"/>
  <c r="K54" i="35" s="1"/>
  <c r="I95" i="2"/>
  <c r="C11" i="28"/>
  <c r="H15" i="10"/>
  <c r="H17" i="10" s="1"/>
  <c r="H24" i="10" s="1"/>
  <c r="H27" i="10" s="1"/>
  <c r="H31" i="35"/>
  <c r="H44" i="35" s="1"/>
  <c r="H81" i="35" s="1"/>
  <c r="H93" i="35" s="1"/>
  <c r="I6" i="10"/>
  <c r="I5" i="10" s="1"/>
  <c r="J75" i="1"/>
  <c r="K75" i="1"/>
  <c r="S20" i="43"/>
  <c r="U20" i="43"/>
  <c r="G23" i="43"/>
  <c r="N20" i="43"/>
  <c r="U23" i="43"/>
  <c r="H20" i="43"/>
  <c r="K23" i="43"/>
  <c r="V23" i="43"/>
  <c r="H23" i="43"/>
  <c r="L20" i="43"/>
  <c r="O23" i="43"/>
  <c r="P23" i="43"/>
  <c r="R23" i="43"/>
  <c r="Q20" i="43"/>
  <c r="J23" i="43"/>
  <c r="I20" i="43"/>
  <c r="M23" i="43"/>
  <c r="K20" i="43"/>
  <c r="O20" i="43"/>
  <c r="F20" i="43"/>
  <c r="J20" i="43"/>
  <c r="I94" i="2"/>
  <c r="F23" i="43"/>
  <c r="E20" i="43"/>
  <c r="N23" i="43"/>
  <c r="I23" i="43"/>
  <c r="E23" i="43"/>
  <c r="S23" i="43"/>
  <c r="T20" i="43"/>
  <c r="G20" i="43"/>
  <c r="L23" i="43"/>
  <c r="T23" i="43"/>
  <c r="M20" i="43"/>
  <c r="V20" i="43"/>
  <c r="Q23" i="43"/>
  <c r="P20" i="43"/>
  <c r="R20" i="43"/>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66" i="1" s="1"/>
  <c r="J41" i="2"/>
  <c r="I41" i="2"/>
  <c r="E96" i="2"/>
  <c r="F101" i="2"/>
  <c r="F102" i="2"/>
  <c r="F66" i="1" s="1"/>
  <c r="H101" i="2"/>
  <c r="H103" i="2" s="1"/>
  <c r="D43" i="2"/>
  <c r="F96" i="2"/>
  <c r="D102" i="2"/>
  <c r="G96" i="2"/>
  <c r="B67" i="5"/>
  <c r="B78" i="1" s="1"/>
  <c r="B66" i="5"/>
  <c r="B77" i="1" s="1"/>
  <c r="B81" i="1"/>
  <c r="B69" i="5"/>
  <c r="B80" i="1" s="1"/>
  <c r="J42" i="2"/>
  <c r="B68" i="5"/>
  <c r="B79" i="1" s="1"/>
  <c r="J95" i="2"/>
  <c r="D96" i="2"/>
  <c r="D101" i="2"/>
  <c r="F76" i="1"/>
  <c r="J76" i="1" s="1"/>
  <c r="I70" i="2"/>
  <c r="B19" i="1"/>
  <c r="B46" i="1"/>
  <c r="J71" i="2"/>
  <c r="I71" i="2"/>
  <c r="D72" i="2"/>
  <c r="H106" i="4"/>
  <c r="F94" i="4"/>
  <c r="I106" i="4"/>
  <c r="J70" i="2"/>
  <c r="F72" i="2"/>
  <c r="E101" i="2"/>
  <c r="G101" i="2"/>
  <c r="E72" i="2"/>
  <c r="H72" i="2"/>
  <c r="E106" i="4"/>
  <c r="H43" i="2"/>
  <c r="J94" i="2"/>
  <c r="G43" i="2"/>
  <c r="F43" i="2"/>
  <c r="H6" i="29"/>
  <c r="H5" i="29" s="1"/>
  <c r="F5" i="2"/>
  <c r="G6" i="2"/>
  <c r="G166" i="2" s="1"/>
  <c r="G167" i="2" s="1"/>
  <c r="F5" i="17"/>
  <c r="G6" i="17"/>
  <c r="J71" i="1"/>
  <c r="F5" i="11"/>
  <c r="G6" i="11"/>
  <c r="J72" i="1"/>
  <c r="G109" i="2"/>
  <c r="F108" i="2"/>
  <c r="F74" i="1"/>
  <c r="J74" i="1" s="1"/>
  <c r="H32" i="28"/>
  <c r="I33" i="28"/>
  <c r="B42" i="1"/>
  <c r="B16" i="1"/>
  <c r="I15" i="10" l="1"/>
  <c r="I17" i="10" s="1"/>
  <c r="I24" i="10" s="1"/>
  <c r="I36" i="28"/>
  <c r="G32" i="10" s="1"/>
  <c r="I35" i="28"/>
  <c r="E18" i="19"/>
  <c r="E54" i="19"/>
  <c r="E82" i="1" s="1"/>
  <c r="E198" i="2"/>
  <c r="F37" i="10"/>
  <c r="F41" i="10" s="1"/>
  <c r="H6" i="5"/>
  <c r="H12" i="5" s="1"/>
  <c r="H67" i="1" s="1"/>
  <c r="G12" i="5"/>
  <c r="G67" i="1" s="1"/>
  <c r="K55" i="35"/>
  <c r="F67" i="1"/>
  <c r="K64" i="35"/>
  <c r="K78" i="35"/>
  <c r="K59" i="35"/>
  <c r="K73" i="35"/>
  <c r="K51" i="35"/>
  <c r="K68" i="35"/>
  <c r="K89" i="35"/>
  <c r="G5" i="5"/>
  <c r="K69" i="35"/>
  <c r="K91" i="35"/>
  <c r="I43" i="2"/>
  <c r="K66" i="35"/>
  <c r="K65" i="35"/>
  <c r="K58" i="35"/>
  <c r="K70" i="35"/>
  <c r="K90" i="35"/>
  <c r="K75" i="35"/>
  <c r="K74" i="35"/>
  <c r="K57" i="35"/>
  <c r="K77" i="35"/>
  <c r="K67" i="35"/>
  <c r="K86" i="35"/>
  <c r="K61" i="35"/>
  <c r="K49" i="35"/>
  <c r="K79" i="35"/>
  <c r="K87" i="35"/>
  <c r="K76" i="35"/>
  <c r="G35" i="10"/>
  <c r="K50" i="35"/>
  <c r="K52" i="35"/>
  <c r="K88" i="35"/>
  <c r="K56" i="35"/>
  <c r="K60" i="35"/>
  <c r="H66" i="4"/>
  <c r="I6" i="4"/>
  <c r="I5" i="4" s="1"/>
  <c r="G34" i="10"/>
  <c r="K53" i="35"/>
  <c r="H95" i="35"/>
  <c r="H98" i="35" s="1"/>
  <c r="D22" i="35"/>
  <c r="D31" i="35" s="1"/>
  <c r="I27" i="10"/>
  <c r="J6" i="10"/>
  <c r="J5" i="10" s="1"/>
  <c r="I101" i="2"/>
  <c r="I96" i="2"/>
  <c r="F199"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E103" i="2"/>
  <c r="B26" i="1"/>
  <c r="B53" i="1"/>
  <c r="B23" i="1"/>
  <c r="B50" i="1"/>
  <c r="B24" i="1"/>
  <c r="B51" i="1"/>
  <c r="B27" i="1"/>
  <c r="B54" i="1"/>
  <c r="B52" i="1"/>
  <c r="B25" i="1"/>
  <c r="F103" i="2"/>
  <c r="J102" i="2"/>
  <c r="D66" i="1"/>
  <c r="J66" i="1" s="1"/>
  <c r="I102" i="2"/>
  <c r="J96" i="2"/>
  <c r="D103" i="2"/>
  <c r="G76" i="1"/>
  <c r="J72" i="2"/>
  <c r="I72" i="2"/>
  <c r="G94" i="4"/>
  <c r="J101" i="2"/>
  <c r="G103" i="2"/>
  <c r="J43" i="2"/>
  <c r="I6" i="29"/>
  <c r="I5" i="29" s="1"/>
  <c r="H6" i="17"/>
  <c r="G5" i="17"/>
  <c r="G74" i="1"/>
  <c r="G5" i="2"/>
  <c r="H6" i="2"/>
  <c r="H6" i="11"/>
  <c r="H5" i="11" s="1"/>
  <c r="G5" i="11"/>
  <c r="G108" i="2"/>
  <c r="H109" i="2"/>
  <c r="J33" i="28"/>
  <c r="I32" i="28"/>
  <c r="B43" i="1"/>
  <c r="B15" i="1"/>
  <c r="J69" i="1"/>
  <c r="J81" i="1"/>
  <c r="J78" i="1"/>
  <c r="B44" i="1"/>
  <c r="B17" i="1"/>
  <c r="B45" i="1"/>
  <c r="B18" i="1"/>
  <c r="B41" i="1"/>
  <c r="B14" i="1"/>
  <c r="J70" i="1"/>
  <c r="J15" i="10" l="1"/>
  <c r="J17" i="10" s="1"/>
  <c r="J24" i="10" s="1"/>
  <c r="I77" i="2"/>
  <c r="H166" i="2"/>
  <c r="H167" i="2" s="1"/>
  <c r="H5" i="5"/>
  <c r="J27" i="10"/>
  <c r="J36" i="28"/>
  <c r="H32" i="10" s="1"/>
  <c r="J35" i="28"/>
  <c r="F198" i="2"/>
  <c r="F54" i="19"/>
  <c r="F82" i="1" s="1"/>
  <c r="F18" i="19"/>
  <c r="I66" i="4"/>
  <c r="J12" i="5"/>
  <c r="G37" i="10"/>
  <c r="G41" i="10" s="1"/>
  <c r="G40" i="10" s="1"/>
  <c r="G44" i="10" s="1"/>
  <c r="E65" i="1" s="1"/>
  <c r="H34" i="10"/>
  <c r="H35" i="10"/>
  <c r="D44" i="35"/>
  <c r="J44" i="35" s="1"/>
  <c r="K44" i="35" s="1"/>
  <c r="J31" i="35"/>
  <c r="K31" i="35" s="1"/>
  <c r="J22" i="35"/>
  <c r="F40" i="10"/>
  <c r="F39" i="10"/>
  <c r="F43" i="10" s="1"/>
  <c r="I103" i="2"/>
  <c r="G199"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66" i="1"/>
  <c r="J103" i="2"/>
  <c r="H76" i="1"/>
  <c r="K76" i="1" s="1"/>
  <c r="H94" i="4"/>
  <c r="K78" i="1"/>
  <c r="I54" i="2"/>
  <c r="H5" i="2"/>
  <c r="I48" i="2"/>
  <c r="I82" i="2"/>
  <c r="I14" i="2"/>
  <c r="I20" i="2"/>
  <c r="I13" i="2"/>
  <c r="I47" i="2"/>
  <c r="I76" i="2"/>
  <c r="I19" i="2"/>
  <c r="H5" i="17"/>
  <c r="I53" i="2"/>
  <c r="I83" i="2"/>
  <c r="H108" i="2"/>
  <c r="J32" i="28"/>
  <c r="K33" i="28"/>
  <c r="H74" i="1"/>
  <c r="K74" i="1" s="1"/>
  <c r="J79" i="1"/>
  <c r="J80" i="1"/>
  <c r="I78" i="2" l="1"/>
  <c r="G198" i="2"/>
  <c r="K36" i="28"/>
  <c r="I32" i="10" s="1"/>
  <c r="K35" i="28"/>
  <c r="G54" i="19"/>
  <c r="G82" i="1" s="1"/>
  <c r="G18" i="19"/>
  <c r="E90" i="1"/>
  <c r="E23" i="1" s="1"/>
  <c r="H37" i="10"/>
  <c r="H41" i="10" s="1"/>
  <c r="H39" i="10" s="1"/>
  <c r="H43" i="10" s="1"/>
  <c r="I34" i="10"/>
  <c r="G39" i="10"/>
  <c r="G43" i="10" s="1"/>
  <c r="I35" i="10"/>
  <c r="J81" i="35"/>
  <c r="F44" i="10"/>
  <c r="D65" i="1" s="1"/>
  <c r="D90" i="1"/>
  <c r="D14" i="1" s="1"/>
  <c r="F103" i="4"/>
  <c r="F104" i="4" s="1"/>
  <c r="D81" i="35"/>
  <c r="D93" i="35" s="1"/>
  <c r="H199"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I15" i="2"/>
  <c r="I49" i="2"/>
  <c r="K32" i="28"/>
  <c r="L33" i="28"/>
  <c r="J77" i="1"/>
  <c r="J67" i="1"/>
  <c r="J68" i="1"/>
  <c r="E83" i="1"/>
  <c r="K69" i="1"/>
  <c r="D95" i="35" l="1"/>
  <c r="D98" i="35" s="1"/>
  <c r="J93" i="35"/>
  <c r="K93" i="35" s="1"/>
  <c r="K81" i="35"/>
  <c r="E11" i="1"/>
  <c r="E22" i="1"/>
  <c r="E13" i="1"/>
  <c r="E28" i="1"/>
  <c r="E17" i="1"/>
  <c r="E25" i="1"/>
  <c r="E15" i="1"/>
  <c r="E21" i="1"/>
  <c r="E14" i="1"/>
  <c r="E26" i="1"/>
  <c r="E24" i="1"/>
  <c r="E16" i="1"/>
  <c r="E19" i="1"/>
  <c r="E12" i="1"/>
  <c r="E18" i="1"/>
  <c r="E27" i="1"/>
  <c r="E20" i="1"/>
  <c r="L35" i="28"/>
  <c r="L36" i="28"/>
  <c r="J32" i="10" s="1"/>
  <c r="H54" i="19"/>
  <c r="H82" i="1" s="1"/>
  <c r="K82" i="1" s="1"/>
  <c r="H18" i="19"/>
  <c r="H198" i="2"/>
  <c r="H40" i="10"/>
  <c r="H44" i="10" s="1"/>
  <c r="F65" i="1" s="1"/>
  <c r="J65" i="1" s="1"/>
  <c r="G45" i="10"/>
  <c r="I37" i="10"/>
  <c r="I41" i="10" s="1"/>
  <c r="I39" i="10" s="1"/>
  <c r="I43" i="10" s="1"/>
  <c r="J34" i="10"/>
  <c r="J35" i="10"/>
  <c r="D13" i="1"/>
  <c r="D11" i="1"/>
  <c r="F45" i="10"/>
  <c r="D21" i="1"/>
  <c r="D18" i="1"/>
  <c r="D25" i="1"/>
  <c r="D24" i="1"/>
  <c r="D27" i="1"/>
  <c r="D12" i="1"/>
  <c r="D20" i="1"/>
  <c r="D22" i="1"/>
  <c r="D23" i="1"/>
  <c r="D26" i="1"/>
  <c r="D16" i="1"/>
  <c r="D17" i="1"/>
  <c r="D15" i="1"/>
  <c r="D19" i="1"/>
  <c r="D91" i="1"/>
  <c r="D39" i="1" s="1"/>
  <c r="E91" i="1"/>
  <c r="D83" i="1"/>
  <c r="D18" i="19"/>
  <c r="J82" i="1"/>
  <c r="D28" i="1"/>
  <c r="K81" i="1"/>
  <c r="L32" i="28"/>
  <c r="K80" i="1"/>
  <c r="K79" i="1"/>
  <c r="K72" i="1"/>
  <c r="K70" i="1"/>
  <c r="K71" i="1"/>
  <c r="J95" i="35" l="1"/>
  <c r="K95" i="35" s="1"/>
  <c r="F83" i="1"/>
  <c r="E29" i="1"/>
  <c r="H45" i="10"/>
  <c r="F90" i="1"/>
  <c r="F12" i="1" s="1"/>
  <c r="F91" i="1"/>
  <c r="F41" i="1" s="1"/>
  <c r="J37" i="10"/>
  <c r="J41" i="10" s="1"/>
  <c r="I40" i="10"/>
  <c r="G90" i="1" s="1"/>
  <c r="G21" i="1" s="1"/>
  <c r="J83" i="1"/>
  <c r="H103" i="4"/>
  <c r="H104" i="4" s="1"/>
  <c r="G103" i="4"/>
  <c r="G104" i="4" s="1"/>
  <c r="D29" i="1"/>
  <c r="D54" i="1"/>
  <c r="D49" i="1"/>
  <c r="D47" i="1"/>
  <c r="D51" i="1"/>
  <c r="D38" i="1"/>
  <c r="D41" i="1"/>
  <c r="D43" i="1"/>
  <c r="D53" i="1"/>
  <c r="D52" i="1"/>
  <c r="D55" i="1"/>
  <c r="D50" i="1"/>
  <c r="D48" i="1"/>
  <c r="D40" i="1"/>
  <c r="D45" i="1"/>
  <c r="D44" i="1"/>
  <c r="D42" i="1"/>
  <c r="D46" i="1"/>
  <c r="E53" i="1"/>
  <c r="E48" i="1"/>
  <c r="E55" i="1"/>
  <c r="E43" i="1"/>
  <c r="E41" i="1"/>
  <c r="E46" i="1"/>
  <c r="E47" i="1"/>
  <c r="E51" i="1"/>
  <c r="E44" i="1"/>
  <c r="E49" i="1"/>
  <c r="E45" i="1"/>
  <c r="E50" i="1"/>
  <c r="E39" i="1"/>
  <c r="E42" i="1"/>
  <c r="E40" i="1"/>
  <c r="E54" i="1"/>
  <c r="E52" i="1"/>
  <c r="E38" i="1"/>
  <c r="K67" i="1"/>
  <c r="K77" i="1"/>
  <c r="K68" i="1"/>
  <c r="J26" i="1" l="1"/>
  <c r="F11" i="1"/>
  <c r="J21" i="1"/>
  <c r="J20" i="1"/>
  <c r="J25" i="1"/>
  <c r="J23" i="1"/>
  <c r="J14" i="1"/>
  <c r="F26" i="1"/>
  <c r="J19" i="1"/>
  <c r="F25" i="1"/>
  <c r="J18" i="1"/>
  <c r="J12" i="1"/>
  <c r="J17" i="1"/>
  <c r="F16" i="1"/>
  <c r="J27" i="1"/>
  <c r="J11" i="1"/>
  <c r="G15" i="1"/>
  <c r="J46" i="1"/>
  <c r="J42" i="1"/>
  <c r="G23" i="1"/>
  <c r="J22" i="1"/>
  <c r="G12" i="1"/>
  <c r="F18" i="1"/>
  <c r="J15" i="1"/>
  <c r="F21" i="1"/>
  <c r="F20" i="1"/>
  <c r="F19" i="1"/>
  <c r="F14" i="1"/>
  <c r="F22" i="1"/>
  <c r="F15" i="1"/>
  <c r="J40" i="10"/>
  <c r="J44" i="10" s="1"/>
  <c r="H65" i="1" s="1"/>
  <c r="J38" i="1"/>
  <c r="J51" i="1"/>
  <c r="J47" i="1"/>
  <c r="J44" i="1"/>
  <c r="J52" i="1"/>
  <c r="J48" i="1"/>
  <c r="F13" i="1"/>
  <c r="F17" i="1"/>
  <c r="F23" i="1"/>
  <c r="F24" i="1"/>
  <c r="F27" i="1"/>
  <c r="J39" i="1"/>
  <c r="J40" i="1"/>
  <c r="G28" i="1"/>
  <c r="G14" i="1"/>
  <c r="J39" i="10"/>
  <c r="J43" i="10" s="1"/>
  <c r="J41" i="1"/>
  <c r="J54" i="1"/>
  <c r="J49" i="1"/>
  <c r="J50" i="1"/>
  <c r="G16" i="1"/>
  <c r="J43" i="1"/>
  <c r="J55" i="1"/>
  <c r="J53" i="1"/>
  <c r="J45" i="1"/>
  <c r="G24" i="1"/>
  <c r="F28" i="1"/>
  <c r="J24" i="1"/>
  <c r="J13" i="1"/>
  <c r="J16" i="1"/>
  <c r="J28" i="1"/>
  <c r="G27" i="1"/>
  <c r="G17" i="1"/>
  <c r="G22" i="1"/>
  <c r="G26" i="1"/>
  <c r="G20" i="1"/>
  <c r="I44" i="10"/>
  <c r="G65" i="1" s="1"/>
  <c r="G11" i="1" s="1"/>
  <c r="G25" i="1"/>
  <c r="G19" i="1"/>
  <c r="G13" i="1"/>
  <c r="G18" i="1"/>
  <c r="F39" i="1"/>
  <c r="F40" i="1"/>
  <c r="F44" i="1"/>
  <c r="F50" i="1"/>
  <c r="F42" i="1"/>
  <c r="F45" i="1"/>
  <c r="F38" i="1"/>
  <c r="F51" i="1"/>
  <c r="F47" i="1"/>
  <c r="F54" i="1"/>
  <c r="F43" i="1"/>
  <c r="F49" i="1"/>
  <c r="F52" i="1"/>
  <c r="F53" i="1"/>
  <c r="F48" i="1"/>
  <c r="F46" i="1"/>
  <c r="F55" i="1"/>
  <c r="F84" i="1"/>
  <c r="G91" i="1"/>
  <c r="G39" i="1" s="1"/>
  <c r="J98" i="35"/>
  <c r="I103" i="4"/>
  <c r="I104" i="4" s="1"/>
  <c r="E103" i="4"/>
  <c r="E104" i="4" s="1"/>
  <c r="D56" i="1"/>
  <c r="E56" i="1"/>
  <c r="H91" i="1"/>
  <c r="G84" i="1" l="1"/>
  <c r="H90" i="1"/>
  <c r="K11" i="1" s="1"/>
  <c r="F29" i="1"/>
  <c r="J56" i="1"/>
  <c r="J29" i="1"/>
  <c r="G29" i="1"/>
  <c r="I45" i="10"/>
  <c r="G83" i="1"/>
  <c r="F56" i="1"/>
  <c r="G50" i="1"/>
  <c r="G46" i="1"/>
  <c r="G41" i="1"/>
  <c r="G52" i="1"/>
  <c r="G45" i="1"/>
  <c r="G54" i="1"/>
  <c r="G53" i="1"/>
  <c r="G43" i="1"/>
  <c r="G38" i="1"/>
  <c r="G48" i="1"/>
  <c r="G40" i="1"/>
  <c r="G44" i="1"/>
  <c r="G42" i="1"/>
  <c r="G47" i="1"/>
  <c r="G51" i="1"/>
  <c r="G55" i="1"/>
  <c r="G49" i="1"/>
  <c r="F85" i="1"/>
  <c r="F86" i="1"/>
  <c r="E84" i="1"/>
  <c r="K52" i="1"/>
  <c r="K50" i="1"/>
  <c r="K49" i="1"/>
  <c r="K51" i="1"/>
  <c r="K55" i="1"/>
  <c r="K54" i="1"/>
  <c r="K53" i="1"/>
  <c r="H83" i="1"/>
  <c r="K65" i="1"/>
  <c r="K83" i="1" s="1"/>
  <c r="H38" i="1"/>
  <c r="K38" i="1"/>
  <c r="H44" i="1"/>
  <c r="H41" i="1"/>
  <c r="H45" i="1"/>
  <c r="H55" i="1"/>
  <c r="H42" i="1"/>
  <c r="K40" i="1"/>
  <c r="K45" i="1"/>
  <c r="H46" i="1"/>
  <c r="K41" i="1"/>
  <c r="K42" i="1"/>
  <c r="K48" i="1"/>
  <c r="H47" i="1"/>
  <c r="K47" i="1"/>
  <c r="H49" i="1"/>
  <c r="H48" i="1"/>
  <c r="H53" i="1"/>
  <c r="H40" i="1"/>
  <c r="K44" i="1"/>
  <c r="H54" i="1"/>
  <c r="H52" i="1"/>
  <c r="H51" i="1"/>
  <c r="K46" i="1"/>
  <c r="H43" i="1"/>
  <c r="H39" i="1"/>
  <c r="K39" i="1"/>
  <c r="K43" i="1"/>
  <c r="H50" i="1"/>
  <c r="J45" i="10"/>
  <c r="K14" i="1" l="1"/>
  <c r="G85" i="1"/>
  <c r="H28" i="1"/>
  <c r="H23" i="1"/>
  <c r="H25" i="1"/>
  <c r="H12" i="1"/>
  <c r="H16" i="1"/>
  <c r="H11" i="1"/>
  <c r="K22" i="1"/>
  <c r="K24" i="1"/>
  <c r="K13" i="1"/>
  <c r="H14" i="1"/>
  <c r="H18" i="1"/>
  <c r="K28" i="1"/>
  <c r="H21" i="1"/>
  <c r="K16" i="1"/>
  <c r="K18" i="1"/>
  <c r="K15" i="1"/>
  <c r="H24" i="1"/>
  <c r="K26" i="1"/>
  <c r="H22" i="1"/>
  <c r="K23" i="1"/>
  <c r="H19" i="1"/>
  <c r="K19" i="1"/>
  <c r="H13" i="1"/>
  <c r="H26" i="1"/>
  <c r="K25" i="1"/>
  <c r="K20" i="1"/>
  <c r="K17" i="1"/>
  <c r="K12" i="1"/>
  <c r="H15" i="1"/>
  <c r="K27" i="1"/>
  <c r="H20" i="1"/>
  <c r="K21" i="1"/>
  <c r="H17" i="1"/>
  <c r="H27" i="1"/>
  <c r="G56" i="1"/>
  <c r="F87" i="1"/>
  <c r="F30" i="1"/>
  <c r="E85" i="1"/>
  <c r="F31" i="1"/>
  <c r="G30" i="1"/>
  <c r="K56" i="1"/>
  <c r="H56" i="1"/>
  <c r="G86" i="1" l="1"/>
  <c r="G31" i="1" s="1"/>
  <c r="G32" i="1" s="1"/>
  <c r="K29" i="1"/>
  <c r="H29" i="1"/>
  <c r="F88" i="1"/>
  <c r="F58" i="1"/>
  <c r="E86" i="1"/>
  <c r="D84" i="1"/>
  <c r="F57" i="1"/>
  <c r="F32" i="1"/>
  <c r="H84" i="1"/>
  <c r="G87" i="1" l="1"/>
  <c r="G57" i="1"/>
  <c r="G88" i="1"/>
  <c r="E31" i="1"/>
  <c r="E87" i="1"/>
  <c r="D85" i="1"/>
  <c r="F59" i="1"/>
  <c r="G58" i="1"/>
  <c r="H85" i="1"/>
  <c r="E107" i="4"/>
  <c r="H107" i="4"/>
  <c r="H108" i="4" s="1"/>
  <c r="I107" i="4"/>
  <c r="I108" i="4" s="1"/>
  <c r="F107" i="4"/>
  <c r="F108" i="4" s="1"/>
  <c r="E88" i="1" l="1"/>
  <c r="G59" i="1"/>
  <c r="E58" i="1"/>
  <c r="E57" i="1"/>
  <c r="E30" i="1"/>
  <c r="E32" i="1" s="1"/>
  <c r="H86" i="1"/>
  <c r="G107" i="4"/>
  <c r="G108" i="4" s="1"/>
  <c r="E59" i="1" l="1"/>
  <c r="H31" i="1"/>
  <c r="H30" i="1"/>
  <c r="H57" i="1"/>
  <c r="D86" i="1"/>
  <c r="H87" i="1" l="1"/>
  <c r="H88" i="1" s="1"/>
  <c r="K85" i="1"/>
  <c r="D30" i="1"/>
  <c r="J30" i="1"/>
  <c r="J84" i="1"/>
  <c r="K84" i="1"/>
  <c r="K30" i="1"/>
  <c r="H32" i="1"/>
  <c r="D87" i="1"/>
  <c r="D31" i="1"/>
  <c r="J31" i="1"/>
  <c r="K86" i="1"/>
  <c r="J86" i="1"/>
  <c r="K31" i="1"/>
  <c r="E108" i="4"/>
  <c r="H58" i="1" l="1"/>
  <c r="H59" i="1" s="1"/>
  <c r="J57" i="1"/>
  <c r="J85" i="1"/>
  <c r="D57" i="1"/>
  <c r="K57" i="1"/>
  <c r="D32" i="1"/>
  <c r="K32" i="1"/>
  <c r="J32" i="1"/>
  <c r="D58" i="1"/>
  <c r="D88" i="1"/>
  <c r="D59" i="1" l="1"/>
  <c r="J58" i="1"/>
  <c r="J59" i="1" s="1"/>
  <c r="K87" i="1"/>
  <c r="K88" i="1" s="1"/>
  <c r="K58" i="1"/>
  <c r="K59" i="1" s="1"/>
  <c r="J87" i="1"/>
  <c r="J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MacPherson</author>
  </authors>
  <commentList>
    <comment ref="N101" authorId="0" shapeId="0" xr:uid="{1E1F73CF-1866-4085-89B3-AC7F3D8540FF}">
      <text>
        <r>
          <rPr>
            <b/>
            <sz val="9"/>
            <color indexed="81"/>
            <rFont val="Tahoma"/>
            <family val="2"/>
          </rPr>
          <t>Matthew MacPherson:</t>
        </r>
        <r>
          <rPr>
            <sz val="9"/>
            <color indexed="81"/>
            <rFont val="Tahoma"/>
            <family val="2"/>
          </rPr>
          <t xml:space="preserve">
Note 11 2024 Southern Stat Accounts</t>
        </r>
      </text>
    </comment>
    <comment ref="O101" authorId="0" shapeId="0" xr:uid="{BADE4943-9DCB-4405-935D-993D74483B62}">
      <text>
        <r>
          <rPr>
            <b/>
            <sz val="9"/>
            <color indexed="81"/>
            <rFont val="Tahoma"/>
            <family val="2"/>
          </rPr>
          <t>Matthew MacPherson:</t>
        </r>
        <r>
          <rPr>
            <sz val="9"/>
            <color indexed="81"/>
            <rFont val="Tahoma"/>
            <family val="2"/>
          </rPr>
          <t xml:space="preserve">
Note 11 2024 Southern Stat Accounts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tc={027ECD0B-A22E-43B3-9BF3-CF692EA249D6}</author>
  </authors>
  <commentList>
    <comment ref="V72" authorId="0" shapeId="0" xr:uid="{027ECD0B-A22E-43B3-9BF3-CF692EA249D6}">
      <text>
        <t>[Threaded comment]
Your version of Excel allows you to read this threaded comment; however, any edits to it will get removed if the file is opened in a newer version of Excel. Learn more: https://go.microsoft.com/fwlink/?linkid=870924
Comment:
    For memo: £29m 2022, £86m 2023 and £111m 2024.</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<sst xmlns="http://schemas.openxmlformats.org/spreadsheetml/2006/main" count="2689" uniqueCount="1217">
  <si>
    <t>Regulatory Financial Performance Report</t>
  </si>
  <si>
    <t xml:space="preserve">                           </t>
  </si>
  <si>
    <t>RIIO-2 start date (enter 2022 for 2021-22)</t>
  </si>
  <si>
    <t>Licensee</t>
  </si>
  <si>
    <t>UKPN-LPN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</si>
  <si>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</si>
  <si>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</si>
  <si>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</si>
  <si>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</si>
  <si>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</si>
  <si>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</si>
  <si>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</si>
  <si>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</si>
  <si>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</si>
  <si>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</si>
  <si>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</si>
  <si>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</si>
  <si>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</si>
  <si>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</si>
  <si>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</si>
  <si>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</si>
  <si>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</si>
  <si>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</si>
  <si>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</si>
  <si>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</si>
  <si>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</si>
  <si>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</si>
  <si>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</si>
  <si>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</si>
  <si>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</si>
  <si>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</si>
  <si>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</si>
  <si>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</si>
  <si>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</si>
  <si>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</si>
  <si>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</si>
  <si>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</si>
  <si>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</si>
  <si>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</si>
  <si>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</si>
  <si>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</si>
  <si>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</si>
  <si>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</si>
  <si>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</si>
  <si>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</si>
  <si>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</si>
  <si>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</si>
  <si>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</si>
  <si>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</si>
  <si>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</si>
  <si>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</si>
  <si>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</si>
  <si>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</si>
  <si>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</si>
  <si>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</si>
  <si>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</si>
  <si>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</si>
  <si>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</si>
  <si>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</si>
  <si>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</si>
  <si>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</si>
  <si>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</si>
  <si>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</si>
  <si>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</si>
  <si>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</si>
  <si>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</si>
  <si>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</si>
  <si>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</si>
  <si>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</si>
  <si>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</si>
  <si>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</si>
  <si>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</si>
  <si>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</si>
  <si>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UKPN-SPN</t>
  </si>
  <si>
    <t>SPD</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</si>
  <si>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</si>
  <si>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</si>
  <si>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</si>
  <si>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</si>
  <si>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</si>
  <si>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</si>
  <si>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</si>
  <si>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</si>
  <si>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</si>
  <si>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</si>
  <si>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</si>
  <si>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</si>
  <si>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</si>
  <si>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</si>
  <si>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</si>
  <si>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</si>
  <si>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</si>
  <si>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</si>
  <si>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</si>
  <si>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</si>
  <si>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</si>
  <si>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</si>
  <si>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</si>
  <si>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</si>
  <si>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</si>
  <si>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</si>
  <si>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</si>
  <si>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</si>
  <si>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</si>
  <si>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</si>
  <si>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</si>
  <si>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</si>
  <si>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</si>
  <si>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</si>
  <si>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</si>
  <si>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</si>
  <si>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</si>
  <si>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</si>
  <si>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</si>
  <si>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</si>
  <si>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</si>
  <si>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</si>
  <si>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</si>
  <si>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</si>
  <si>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</si>
  <si>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</si>
  <si>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</si>
  <si>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</si>
  <si>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</si>
  <si>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</si>
  <si>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</si>
  <si>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</si>
  <si>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</si>
  <si>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</si>
  <si>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</si>
  <si>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</si>
  <si>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</si>
  <si>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</si>
  <si>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</si>
  <si>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</si>
  <si>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</si>
  <si>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</si>
  <si>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</si>
  <si>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</si>
  <si>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</si>
  <si>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</si>
  <si>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</si>
  <si>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</si>
  <si>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</si>
  <si>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</si>
  <si>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</si>
  <si>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</si>
  <si>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</si>
  <si>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</si>
  <si>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</si>
  <si>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</si>
  <si>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</si>
  <si>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</si>
  <si>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</si>
  <si>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</si>
  <si>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</si>
  <si>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</si>
  <si>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</si>
  <si>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</si>
  <si>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</si>
  <si>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</si>
  <si>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</si>
  <si>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</si>
  <si>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</si>
  <si>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</si>
  <si>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</si>
  <si>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</si>
  <si>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</si>
  <si>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</si>
  <si>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</si>
  <si>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</si>
  <si>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</si>
  <si>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</si>
  <si>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</si>
  <si>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</si>
  <si>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</si>
  <si>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</si>
  <si>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</si>
  <si>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</si>
  <si>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</si>
  <si>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</si>
  <si>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</si>
  <si>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</si>
  <si>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</si>
  <si>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</si>
  <si>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</si>
  <si>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</si>
  <si>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</si>
  <si>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</si>
  <si>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</si>
  <si>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</si>
  <si>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</si>
  <si>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</si>
  <si>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</si>
  <si>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</si>
  <si>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</si>
  <si>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</si>
  <si>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</si>
  <si>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</si>
  <si>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</si>
  <si>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</si>
  <si>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</si>
  <si>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</si>
  <si>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</si>
  <si>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</si>
  <si>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</si>
  <si>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</si>
  <si>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</si>
  <si>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</si>
  <si>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</si>
  <si>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</si>
  <si>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</si>
  <si>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</si>
  <si>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</si>
  <si>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</si>
  <si>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</si>
  <si>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</si>
  <si>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</si>
  <si>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</si>
  <si>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</si>
  <si>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</si>
  <si>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</si>
  <si>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</si>
  <si>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</si>
  <si>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</si>
  <si>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</si>
  <si>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</si>
  <si>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</si>
  <si>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</si>
  <si>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</si>
  <si>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</si>
  <si>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</si>
  <si>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</si>
  <si>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</si>
  <si>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</si>
  <si>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</si>
  <si>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</si>
  <si>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</si>
  <si>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</si>
  <si>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</si>
  <si>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</si>
  <si>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</si>
  <si>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</si>
  <si>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</si>
  <si>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</si>
  <si>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</si>
  <si>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</si>
  <si>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</si>
  <si>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</si>
  <si>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</si>
  <si>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</si>
  <si>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</si>
  <si>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</si>
  <si>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</si>
  <si>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</si>
  <si>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</si>
  <si>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</si>
  <si>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</si>
  <si>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</si>
  <si>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</si>
  <si>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</si>
  <si>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</si>
  <si>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</si>
  <si>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</si>
  <si>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</si>
  <si>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</si>
  <si>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</si>
  <si>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</si>
  <si>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</si>
  <si>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</si>
  <si>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</si>
  <si>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</si>
  <si>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</si>
  <si>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</si>
  <si>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</si>
  <si>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</si>
  <si>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</si>
  <si>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</si>
  <si>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</si>
  <si>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</si>
  <si>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</si>
  <si>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</si>
  <si>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</si>
  <si>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</si>
  <si>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</si>
  <si>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</si>
  <si>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</si>
  <si>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</si>
  <si>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</si>
  <si>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</si>
  <si>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</si>
  <si>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</si>
  <si>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</si>
  <si>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</si>
  <si>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</si>
  <si>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</si>
  <si>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</si>
  <si>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</si>
  <si>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</si>
  <si>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</si>
  <si>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</si>
  <si>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</si>
  <si>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</si>
  <si>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</si>
  <si>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</si>
  <si>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</si>
  <si>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</si>
  <si>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</si>
  <si>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</si>
  <si>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</si>
  <si>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</si>
  <si>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</si>
  <si>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</si>
  <si>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</si>
  <si>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</si>
  <si>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</si>
  <si>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</si>
  <si>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</si>
  <si>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</si>
  <si>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</si>
  <si>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</si>
  <si>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</si>
  <si>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</si>
  <si>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</si>
  <si>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</si>
  <si>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</si>
  <si>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</si>
  <si>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</si>
  <si>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</si>
  <si>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</si>
  <si>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</si>
  <si>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</si>
  <si>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</si>
  <si>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</si>
  <si>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</si>
  <si>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</si>
  <si>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</si>
  <si>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</si>
  <si>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</si>
  <si>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</si>
  <si>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</si>
  <si>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</si>
  <si>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</si>
  <si>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</si>
  <si>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</si>
  <si>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</si>
  <si>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</si>
  <si>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</si>
  <si>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</si>
  <si>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</si>
  <si>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</si>
  <si>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</si>
  <si>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</si>
  <si>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</si>
  <si>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</si>
  <si>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</si>
  <si>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</si>
  <si>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</si>
  <si>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</si>
  <si>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</si>
  <si>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</si>
  <si>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</si>
  <si>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</si>
  <si>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</si>
  <si>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</si>
  <si>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</si>
  <si>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</si>
  <si>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</si>
  <si>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</si>
  <si>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</si>
  <si>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</si>
  <si>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</si>
  <si>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</si>
  <si>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</si>
  <si>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</si>
  <si>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</si>
  <si>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</si>
  <si>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</si>
  <si>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</si>
  <si>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</si>
  <si>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</si>
  <si>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</si>
  <si>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</si>
  <si>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</si>
  <si>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</si>
  <si>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</si>
  <si>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</si>
  <si>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</si>
  <si>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</si>
  <si>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</si>
  <si>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</si>
  <si>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</si>
  <si>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</si>
  <si>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</si>
  <si>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</si>
  <si>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</si>
  <si>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</si>
  <si>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</si>
  <si>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</si>
  <si>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</si>
  <si>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</si>
  <si>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</si>
  <si>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</si>
  <si>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</si>
  <si>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</si>
  <si>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</si>
  <si>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</si>
  <si>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</si>
  <si>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</si>
  <si>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</si>
  <si>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</si>
  <si>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</si>
  <si>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</si>
  <si>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</si>
  <si>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</si>
  <si>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</si>
  <si>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</si>
  <si>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</si>
  <si>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</si>
  <si>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</si>
  <si>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</si>
  <si>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</si>
  <si>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</si>
  <si>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</si>
  <si>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</si>
  <si>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</si>
  <si>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</si>
  <si>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</si>
  <si>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</si>
  <si>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</si>
  <si>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</si>
  <si>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</si>
  <si>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</si>
  <si>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</si>
  <si>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</si>
  <si>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</si>
  <si>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</si>
  <si>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</si>
  <si>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</si>
  <si>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</si>
  <si>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</si>
  <si>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</si>
  <si>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</si>
  <si>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</si>
  <si>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</si>
  <si>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</si>
  <si>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</si>
  <si>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</si>
  <si>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</si>
  <si>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</si>
  <si>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</si>
  <si>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</si>
  <si>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</si>
  <si>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</si>
  <si>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</si>
  <si>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</si>
  <si>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</si>
  <si>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</si>
  <si>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</si>
  <si>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</si>
  <si>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</si>
  <si>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</si>
  <si>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</si>
  <si>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</si>
  <si>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</si>
  <si>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</si>
  <si>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</si>
  <si>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</si>
  <si>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</si>
  <si>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</si>
  <si>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</si>
  <si>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</si>
  <si>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</si>
  <si>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</si>
  <si>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</si>
  <si>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</si>
  <si>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</si>
  <si>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</si>
  <si>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</si>
  <si>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</si>
  <si>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</si>
  <si>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</si>
  <si>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</si>
  <si>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</si>
  <si>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</si>
  <si>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</si>
  <si>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</si>
  <si>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</si>
  <si>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</si>
  <si>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</si>
  <si>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</si>
  <si>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</si>
  <si>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</si>
  <si>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</si>
  <si>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</si>
  <si>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</si>
  <si>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</si>
  <si>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</si>
  <si>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</si>
  <si>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</si>
  <si>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</si>
  <si>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</si>
  <si>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</si>
  <si>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</si>
  <si>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</si>
  <si>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</si>
  <si>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</si>
  <si>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</si>
  <si>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</si>
  <si>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</si>
  <si>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</si>
  <si>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</si>
  <si>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</si>
  <si>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</si>
  <si>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</si>
  <si>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</si>
  <si>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</si>
  <si>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</si>
  <si>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</si>
  <si>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</si>
  <si>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</si>
  <si>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</si>
  <si>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</si>
  <si>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</si>
  <si>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</si>
  <si>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</si>
  <si>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</si>
  <si>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</si>
  <si>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</si>
  <si>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</si>
  <si>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</si>
  <si>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</si>
  <si>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</si>
  <si>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</si>
  <si>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</si>
  <si>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</si>
  <si>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</si>
  <si>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</si>
  <si>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</si>
  <si>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</si>
  <si>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</si>
  <si>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</si>
  <si>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</si>
  <si>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</si>
  <si>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</si>
  <si>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</si>
  <si>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</si>
  <si>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</si>
  <si>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</si>
  <si>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</si>
  <si>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</si>
  <si>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</si>
  <si>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</si>
  <si>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</si>
  <si>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</si>
  <si>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</si>
  <si>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</si>
  <si>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</si>
  <si>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</si>
  <si>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</si>
  <si>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</si>
  <si>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</si>
  <si>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</si>
  <si>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</si>
  <si>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</si>
  <si>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</si>
  <si>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</si>
  <si>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</si>
  <si>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</si>
  <si>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</si>
  <si>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</si>
  <si>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</si>
  <si>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</si>
  <si>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</si>
  <si>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</si>
  <si>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</si>
  <si>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</si>
  <si>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</si>
  <si>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</si>
  <si>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</si>
  <si>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</si>
  <si>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</si>
  <si>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</si>
  <si>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</si>
  <si>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</si>
  <si>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</si>
  <si>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</si>
  <si>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</si>
  <si>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</si>
  <si>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</si>
  <si>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</si>
  <si>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</si>
  <si>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</si>
  <si>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</si>
  <si>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</si>
  <si>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</si>
  <si>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</si>
  <si>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</si>
  <si>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</si>
  <si>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</si>
  <si>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</si>
  <si>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</si>
  <si>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</si>
  <si>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</si>
  <si>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</si>
  <si>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</si>
  <si>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</si>
  <si>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</si>
  <si>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</si>
  <si>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</si>
  <si>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</si>
  <si>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</si>
  <si>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</si>
  <si>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</si>
  <si>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</si>
  <si>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</si>
  <si>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</si>
  <si>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</si>
  <si>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</si>
  <si>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</si>
  <si>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</si>
  <si>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</si>
  <si>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</si>
  <si>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</si>
  <si>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</si>
  <si>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</si>
  <si>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</si>
  <si>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</si>
  <si>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</si>
  <si>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</si>
  <si>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</si>
  <si>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</si>
  <si>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</si>
  <si>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</si>
  <si>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</si>
  <si>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</si>
  <si>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</si>
  <si>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</si>
  <si>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</si>
  <si>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</si>
  <si>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</si>
  <si>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</si>
  <si>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</si>
  <si>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</si>
  <si>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</si>
  <si>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</si>
  <si>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</si>
  <si>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</si>
  <si>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</si>
  <si>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</si>
  <si>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</si>
  <si>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</si>
  <si>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</si>
  <si>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</si>
  <si>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</si>
  <si>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</si>
  <si>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</si>
  <si>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</si>
  <si>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</si>
  <si>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</si>
  <si>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</si>
  <si>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</si>
  <si>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</si>
  <si>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</si>
  <si>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</si>
  <si>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</si>
  <si>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</si>
  <si>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</si>
  <si>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</si>
  <si>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</si>
  <si>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</si>
  <si>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</si>
  <si>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</si>
  <si>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</si>
  <si>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</si>
  <si>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</si>
  <si>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</si>
  <si>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</si>
  <si>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</si>
  <si>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</si>
  <si>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</si>
  <si>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</si>
  <si>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</si>
  <si>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</si>
  <si>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</si>
  <si>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</si>
  <si>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</si>
  <si>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</si>
  <si>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</si>
  <si>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</si>
  <si>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</si>
  <si>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</si>
  <si>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</si>
  <si>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</si>
  <si>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</si>
  <si>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</si>
  <si>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</si>
  <si>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</si>
  <si>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</si>
  <si>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</si>
  <si>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</si>
  <si>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</si>
  <si>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</si>
  <si>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</si>
  <si>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</si>
  <si>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</si>
  <si>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</si>
  <si>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</si>
  <si>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</si>
  <si>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</si>
  <si>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</si>
  <si>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</si>
  <si>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</si>
  <si>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</si>
  <si>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</si>
  <si>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</si>
  <si>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</si>
  <si>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</si>
  <si>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</si>
  <si>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</si>
  <si>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</si>
  <si>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</si>
  <si>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</si>
  <si>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</si>
  <si>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</si>
  <si>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</si>
  <si>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</si>
  <si>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</si>
  <si>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</si>
  <si>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</si>
  <si>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</si>
  <si>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</si>
  <si>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</si>
  <si>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</si>
  <si>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</si>
  <si>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</si>
  <si>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</si>
  <si>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</si>
  <si>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</si>
  <si>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</si>
  <si>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</si>
  <si>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</si>
  <si>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</si>
  <si>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</si>
  <si>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</si>
  <si>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</si>
  <si>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</si>
  <si>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</si>
  <si>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</si>
  <si>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</si>
  <si>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</si>
  <si>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</si>
  <si>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</si>
  <si>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</si>
  <si>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</si>
  <si>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</si>
  <si>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</si>
  <si>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</si>
  <si>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</si>
  <si>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</si>
  <si>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</si>
  <si>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</si>
  <si>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</si>
  <si>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</si>
  <si>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</si>
  <si>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</si>
  <si>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</si>
  <si>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</si>
  <si>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</si>
  <si>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</si>
  <si>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</si>
  <si>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</si>
  <si>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</si>
  <si>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</si>
  <si>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</si>
  <si>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</si>
  <si>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</si>
  <si>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</si>
  <si>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</si>
  <si>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</si>
  <si>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</si>
  <si>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</si>
  <si>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</si>
  <si>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</si>
  <si>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</si>
  <si>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</si>
  <si>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</si>
  <si>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</si>
  <si>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</si>
  <si>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</si>
  <si>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</si>
  <si>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</si>
  <si>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</si>
  <si>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</si>
  <si>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</si>
  <si>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</si>
  <si>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</si>
  <si>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</si>
  <si>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</si>
  <si>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</si>
  <si>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</si>
  <si>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</si>
  <si>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</si>
  <si>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</si>
  <si>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</si>
  <si>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</si>
  <si>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</si>
  <si>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</si>
  <si>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</si>
  <si>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</si>
  <si>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</si>
  <si>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</si>
  <si>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</si>
  <si>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</si>
  <si>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</si>
  <si>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</si>
  <si>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</si>
  <si>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</si>
  <si>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</si>
  <si>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</si>
  <si>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</si>
  <si>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</si>
  <si>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</si>
  <si>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</si>
  <si>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</si>
  <si>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</si>
  <si>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</si>
  <si>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</si>
  <si>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</si>
  <si>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</si>
  <si>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</si>
  <si>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</si>
  <si>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</si>
  <si>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</si>
  <si>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</si>
  <si>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</si>
  <si>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</si>
  <si>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</si>
  <si>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</si>
  <si>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</si>
  <si>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</si>
  <si>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</si>
  <si>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</si>
  <si>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</si>
  <si>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</si>
  <si>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</si>
  <si>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</si>
  <si>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</si>
  <si>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</si>
  <si>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</si>
  <si>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</si>
  <si>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</si>
  <si>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</si>
  <si>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</si>
  <si>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</si>
  <si>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</si>
  <si>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</si>
  <si>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</si>
  <si>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</si>
  <si>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</si>
  <si>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</si>
  <si>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</si>
  <si>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</si>
  <si>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</si>
  <si>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</si>
  <si>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</si>
  <si>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</si>
  <si>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</si>
  <si>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</si>
  <si>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</si>
  <si>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</si>
  <si>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</si>
  <si>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</si>
  <si>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</si>
  <si>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</si>
  <si>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</si>
  <si>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</si>
  <si>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</si>
  <si>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</si>
  <si>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</si>
  <si>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</si>
  <si>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</si>
  <si>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</si>
  <si>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</si>
  <si>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</si>
  <si>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</si>
  <si>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</si>
  <si>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</si>
  <si>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</si>
  <si>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</si>
  <si>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</si>
  <si>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</si>
  <si>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</si>
  <si>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</si>
  <si>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</si>
  <si>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</si>
  <si>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</si>
  <si>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</si>
  <si>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</si>
  <si>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</si>
  <si>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</si>
  <si>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</si>
  <si>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</si>
  <si>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</si>
  <si>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</si>
  <si>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</si>
  <si>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</si>
  <si>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</si>
  <si>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</si>
  <si>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</si>
  <si>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</si>
  <si>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</si>
  <si>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</si>
  <si>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</si>
  <si>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</si>
  <si>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</si>
  <si>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</si>
  <si>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</si>
  <si>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</si>
  <si>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</si>
  <si>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</si>
  <si>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</si>
  <si>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</si>
  <si>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</si>
  <si>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</si>
  <si>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</si>
  <si>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</si>
  <si>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</si>
  <si>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</si>
  <si>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</si>
  <si>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</si>
  <si>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</si>
  <si>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</si>
  <si>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</si>
  <si>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</si>
  <si>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</si>
  <si>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</si>
  <si>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</si>
  <si>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</si>
  <si>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</si>
  <si>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</si>
  <si>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</si>
  <si>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</si>
  <si>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</si>
  <si>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</si>
  <si>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</si>
  <si>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</si>
  <si>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</si>
  <si>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</si>
  <si>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</si>
  <si>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</si>
  <si>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</si>
  <si>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</si>
  <si>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</si>
  <si>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</si>
  <si>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</si>
  <si>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</si>
  <si>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</si>
  <si>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</si>
  <si>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</si>
  <si>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</si>
  <si>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</si>
  <si>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</si>
  <si>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</si>
  <si>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</si>
  <si>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</si>
  <si>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</si>
  <si>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</si>
  <si>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</si>
  <si>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</si>
  <si>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</si>
  <si>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</si>
  <si>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</si>
  <si>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</si>
  <si>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</si>
  <si>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</si>
  <si>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</si>
  <si>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</si>
  <si>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</si>
  <si>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</si>
  <si>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</si>
  <si>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</si>
  <si>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</si>
  <si>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</si>
  <si>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</si>
  <si>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</si>
  <si>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</si>
  <si>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</si>
  <si>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</si>
  <si>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</si>
  <si>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</si>
  <si>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</si>
  <si>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</si>
  <si>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</si>
  <si>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</si>
  <si>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</si>
  <si>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</si>
  <si>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</si>
  <si>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</si>
  <si>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</si>
  <si>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</si>
  <si>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</si>
  <si>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</si>
  <si>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</si>
  <si>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</si>
  <si>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</si>
  <si>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</si>
  <si>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</si>
  <si>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</si>
  <si>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</si>
  <si>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</si>
  <si>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</si>
  <si>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</si>
  <si>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</si>
  <si>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</si>
  <si>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</si>
  <si>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</si>
  <si>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</si>
  <si>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</si>
  <si>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</si>
  <si>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</si>
  <si>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</si>
  <si>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</si>
  <si>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</si>
  <si>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</si>
  <si>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</si>
  <si>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</si>
  <si>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</si>
  <si>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</si>
  <si>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</si>
  <si>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</si>
  <si>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</si>
  <si>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</si>
  <si>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</si>
  <si>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</si>
  <si>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</si>
  <si>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</si>
  <si>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</si>
  <si>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</si>
  <si>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</si>
  <si>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</si>
  <si>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</si>
  <si>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</si>
  <si>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</si>
  <si>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</si>
  <si>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</si>
  <si>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</si>
  <si>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</si>
  <si>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</si>
  <si>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</si>
  <si>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</si>
  <si>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</si>
  <si>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</si>
  <si>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</si>
  <si>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</si>
  <si>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</si>
  <si>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</si>
  <si>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</si>
  <si>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</si>
  <si>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</si>
  <si>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</si>
  <si>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</si>
  <si>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</si>
  <si>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</si>
  <si>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</si>
  <si>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</si>
  <si>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</si>
  <si>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</si>
  <si>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</si>
  <si>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</si>
  <si>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</si>
  <si>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</si>
  <si>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</si>
  <si>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</si>
  <si>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</si>
  <si>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</si>
  <si>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</si>
  <si>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</si>
  <si>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</si>
  <si>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</si>
  <si>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</si>
  <si>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</si>
  <si>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</si>
  <si>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</si>
  <si>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</si>
  <si>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</si>
  <si>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</si>
  <si>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</si>
  <si>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</si>
  <si>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</si>
  <si>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</si>
  <si>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</si>
  <si>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</si>
  <si>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</si>
  <si>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</si>
  <si>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</si>
  <si>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</si>
  <si>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</si>
  <si>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</si>
  <si>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</si>
  <si>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</si>
  <si>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</si>
  <si>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</si>
  <si>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</si>
  <si>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</si>
  <si>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</si>
  <si>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</si>
  <si>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</si>
  <si>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</si>
  <si>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</si>
  <si>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</si>
  <si>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</si>
  <si>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</si>
  <si>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</si>
  <si>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</si>
  <si>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</si>
  <si>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</si>
  <si>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</si>
  <si>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</si>
  <si>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</si>
  <si>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</si>
  <si>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</si>
  <si>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</si>
  <si>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</si>
  <si>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</si>
  <si>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</si>
  <si>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</si>
  <si>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</si>
  <si>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</si>
  <si>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</si>
  <si>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</si>
  <si>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</si>
  <si>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</si>
  <si>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</si>
  <si>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Discounts (premiums) for fixed rate debt</t>
  </si>
  <si>
    <t>R6a - Net Debt input, cell D65</t>
  </si>
  <si>
    <t>Spare adjustment slot in the 'Conversion to Regulatory (RIIO-2) Definition of Net Debt' section replaced with "Discounts (premiums) for fixed rate debt"</t>
  </si>
  <si>
    <t> </t>
  </si>
  <si>
    <t>[opening/closing bal]</t>
  </si>
  <si>
    <t>Reconciliation item - bad debt acc. sits outside of stat accounts]</t>
  </si>
  <si>
    <t>SoLR income</t>
  </si>
  <si>
    <t>Recruitment of staff</t>
  </si>
  <si>
    <t>Training &amp; Apprentices</t>
  </si>
  <si>
    <t>LTS Projects</t>
  </si>
  <si>
    <t>Governors</t>
  </si>
  <si>
    <t>Other Capex</t>
  </si>
  <si>
    <t>Reinforcement</t>
  </si>
  <si>
    <t>Tier 1 and Non tier 1 Mains</t>
  </si>
  <si>
    <t>Risers</t>
  </si>
  <si>
    <t>FRS17 Adjustment</t>
  </si>
  <si>
    <t>Non Formula costs not included in TOTEX</t>
  </si>
  <si>
    <t>Industrial Disease provision movement in P&amp;L</t>
  </si>
  <si>
    <t>Industrial Disease compensation payments</t>
  </si>
  <si>
    <t>Xoserve costs from Capex</t>
  </si>
  <si>
    <t>Supplier of Last Resort costs moved from pass through offset income</t>
  </si>
  <si>
    <t>Provision</t>
  </si>
  <si>
    <t>Ofgem licence fee post RRP submission</t>
  </si>
  <si>
    <t>Merton council goodwill payment</t>
  </si>
  <si>
    <t>Loss/Profit of Disposal of Fixed Assets</t>
  </si>
  <si>
    <t>Direct Income classed as turnover in Stat accounts</t>
  </si>
  <si>
    <t>Pension Deficit Repair Payments</t>
  </si>
  <si>
    <t>Amortisation of customer contributions</t>
  </si>
  <si>
    <t>Stat late adjustments</t>
  </si>
  <si>
    <t>Incremental Pension Deficit Repair Payments</t>
  </si>
  <si>
    <t>Meterwork net costs not part of regulated TOTEX</t>
  </si>
  <si>
    <t xml:space="preserve">Environmental Provision </t>
  </si>
  <si>
    <t>Xoserve costs to Opex</t>
  </si>
  <si>
    <t>Roundings</t>
  </si>
  <si>
    <t>Non Controllable Costs</t>
  </si>
  <si>
    <t xml:space="preserve">Bond adjustment </t>
  </si>
  <si>
    <t>Pay leg adjustment</t>
  </si>
  <si>
    <t>CPI Swaps adjustment</t>
  </si>
  <si>
    <t>Interest on net debt</t>
  </si>
  <si>
    <t>Accretion on new debt</t>
  </si>
  <si>
    <t>Actuals Net Interest balancing adjustment</t>
  </si>
  <si>
    <t>1. Environmental Provision Unwind</t>
  </si>
  <si>
    <t>2. Remove "Clean Fair Value (exc. accrued accretion)" from CPI-Swaps</t>
  </si>
  <si>
    <t>1. Short Term loans from / (to) related parties (deducted from cash balances in row 16)</t>
  </si>
  <si>
    <t>2. Share of Pooled Cash</t>
  </si>
  <si>
    <t>3. Removal of Mark to Market value of interest rate swaps</t>
  </si>
  <si>
    <t>4. Removal of Mark to Market value of inflation rate swaps</t>
  </si>
  <si>
    <t>5. Removal of Restricted Cash</t>
  </si>
  <si>
    <t>6. Forecast accretion on CPI-linked swaps</t>
  </si>
  <si>
    <t>7. Accretion on CPI-linked swaps</t>
  </si>
  <si>
    <t>8. Drawings on Revolver</t>
  </si>
  <si>
    <t xml:space="preserve">CT600 revenue is the Turnover as per P&amp;L (Stat Accounts) sourced from cell F5 of tab R2.  PCFM calculated revenue is the sum of the calculated revenue (except tax allowance) and Tax allowance (including adjustment) in cells AQ179 &amp; AQ216, respectively, of the Finance&amp;Tax tab of the Latest PCFM.   </t>
  </si>
  <si>
    <t xml:space="preserve">Per cell AQ184 of the Finance&amp;Tax tab of the Latest PCFM.  </t>
  </si>
  <si>
    <t>EBITDA variance is material but is primarily due to regulated revenue timing difference - see explanation in 2022/23 Tax Reconciliation section of Chapter 3.7 of RFPR Commentary and section i (EBITDA Difference) of Supplementary Tax Reconcilliation Commentary for further detail.</t>
  </si>
  <si>
    <t>CT600 interest is in CT600 schedules D2 and D3 and PCFM interest is as per cell AQ182 of the Finance&amp;Tax tab of the Latest PCFM.  When aggregating all interest line items together in this tab the Total Interest Variance is immaterial - see 2022/23 Tax Reconciliation section of Chapter 3.7 of RFPR Commentary and section ii (Total Interest Difference) of Supplementary Tax Reconcilliation Commentary for further detail.</t>
  </si>
  <si>
    <t>CT600 interest is in CT600 schedules D2 and D3 and PCFM interest is as per cell AQ183 of the Finance&amp;Tax tab of the Latest PCFM.  When aggregating all interest line items together in this tab the Total Interest Variance is immaterial - see 2022/23 Tax Reconciliation section of Chapter 3.7 of RFPR Commentary and section ii (Total Interest Difference) of Supplementary Tax Reconcilliation Commentary for further detail.</t>
  </si>
  <si>
    <t xml:space="preserve">CT600 profit/(loss) figure is the sum of entries above, and as per signed statutory accounts and CT600 schedule D. Explanation of differences to PCFM as per above rows 22-25 above, plus the CT600 figure includes depreciation and profit/(loss) on disposals of fixed assets (total -£129.5m) which are fully removed in rows 51 and 60 below (total +£129.6m), respectively, and amortisation (-£7.0m), which is partially offset in row 52 (+£1.0m). Amortisation is a CT600 adjustment - when aggregating all the CT600 adjustments together in this tab the CT600 Adjustments variance is immaterial - see explanation in 2022/23 Tax Reconciliation section of Chapter 3.7 of RFPR Commentary and section iii (Capital Allowances Difference) of Supplementary Tax Reconcilliation Commentary for further detail. </t>
  </si>
  <si>
    <t>See cell L31 - no regulatory adjustments were made in the CT600.</t>
  </si>
  <si>
    <t>Per CT600 schedule C5. £12.0m provision for penalties and fines treated as non-deductible (offsetting against an equal and opposite variance in row 22: EBITDA), plus £206k timing adjustment on spreading of FRS 102 transition adjustments and a fuirther £204k movement on environmental provision (disallowed as capital in nature).</t>
  </si>
  <si>
    <t>Per CT600 schedule C4. Removal of £10.3m service charge and £6.0m of interest income, less a tax deduction for the £4.6m of contributions paid during period.</t>
  </si>
  <si>
    <t>Per CT600 schedule D1. Removal of depreciation figure in accounts (see row 28)</t>
  </si>
  <si>
    <t>Per CT600 schedules B1 and D1. Add back of amortisation of goodwill, capital contributions, software acquired pre FRS 102 transition and excluded (R&amp;D related) assets.</t>
  </si>
  <si>
    <t>Per CT600 schedules D4, D5 &amp; D11. Removal of non-deductible expenses e.g. restricted car leasing costs and professional fees which are capital in nature.</t>
  </si>
  <si>
    <t>Per CT600 schedule C10 and cell AQ95 of Tax Pools tab of the latest PCFM (note PCFM reference in cell G55 is to source from PCFM 'Finance&amp;Tax' tab but only total capital allowances are in that tab [cell AQ185], not individual tax pool capital allowances). When aggregating all capital allowance line items together in this tab the Capital Allowances Variance is immaterial - see 2022/23 Tax Reconciliation section of Chapter 3.7 of RFPR Commentary and section iii (Capital Allowances Difference) of Supplementary Tax Reconcilliation Commentary for further detail.</t>
  </si>
  <si>
    <t>Per CT600 schedules C2 &amp; D1. Accounting loss on disposal of replaced pipelines and minor profits on disposal of small parcels of land along with a disposal plant &amp; machinery.</t>
  </si>
  <si>
    <t>Per CT600 schedule B3 and cell AQ93 of Tax Pools tab of the latest PCFM (note PCFM reference in cell G55 is to source from PCFM 'Finance&amp;Tax' tab but only total capital allowances are in that tab [cell AQ185], not individual tax pool capital allowances). When aggregating all capital allowance line items together in this tab the Capital Allowances Variance is immaterial, driven by the fact that general and special rate pools differences are signifcantly offsset by a PCFM tax allowance tax trigger adjustment for the impact of the UK Government’s super deduction tax legislation, which is already included in the CT600 general and special rate pools capital allowances. See 2022/23 Tax Reconciliation section of Chapter 3.7 of RFPR Commentary and section iii (Capital Allowances Difference) of Supplementary Tax Reconcilliation Commentary for further detail.</t>
  </si>
  <si>
    <t>Per CT600 schedule B3 and cell AQ92 of Tax Pools tab of the latest PCFM (note PCFM reference in cell G55 is to source from PCFM 'Finance&amp;Tax' tab but only total capital allowances are in that tab [cell AQ185], not individual tax pool capital allowances). When aggregating all capital allowance line items together in this tab the Capital Allowances Variance is immaterial - see 2022/23 Tax Reconciliation section of Chapter 3.7 of RFPR Commentary and section iii (Capital Allowances Difference) of Supplementary Tax Reconcilliation Commentary for further detail.</t>
  </si>
  <si>
    <t>Note PCFM reference in cell G55 is to source from PCFM 'Finance&amp;Tax' tab but only total capital allowances are in that tab [cell AQ185], not individual tax pool capital allowances.</t>
  </si>
  <si>
    <t>Tax adjustment to disregard the fair value movement on derivative financial instruments as per CT600 schedule A5. When aggregating all interest line items together in this tab the Total Interest Variance is immaterial - see 2022/23 Tax Reconciliation section of Chapter 3.7 of RFPR Commentary and section ii (Total Interest Difference) of Supplementary Tax Reconcilliation Commentary for further detail.</t>
  </si>
  <si>
    <t>Explanation of differences to PCFM as per above rows 44-79 above.</t>
  </si>
  <si>
    <t>Per Cell AQ194 of Finance&amp;Tax tab of latest PCFM. When aggregating all interest line items together in this tab the Total Interest Variance is immaterial - see 2022/23 Tax Reconciliation section of Chapter 3.7 of RFPR Commentary.</t>
  </si>
  <si>
    <t>Per Cell AQ195 of Finance&amp;Tax tab of latest PCFM. When aggregating all capital allowance line items together in this tab the Capital Allowances Variance is immaterial, driven by the fact that general and special rate pools differences are signifcantly offsset by a PCFM tax allowance tax trigger adjustment for the impact of the UK Government’s super deduction tax legislation, which is already included in the CT600 general and special rate pools capital allowances. See 2022/23 Tax Reconciliation section of Chapter 3.7 of RFPR Commentary and section iii (Capital Allowances Difference) of Supplementary Tax Reconcilliation Commentary for further detail.</t>
  </si>
  <si>
    <t>Per Cell AQ196 of Finance&amp;Tax tab of latest PCFM. Sum of rows 88 &amp; 89 above.</t>
  </si>
  <si>
    <t>Explanation of differences to PCFM as per rows 81&amp;90 above.</t>
  </si>
  <si>
    <t>25:1</t>
  </si>
  <si>
    <t>21:1</t>
  </si>
  <si>
    <t>16:1</t>
  </si>
  <si>
    <t>The entity doesn't have any executive directors.</t>
  </si>
  <si>
    <t>The CEO and CFO attend board meetings, but not "serve on the regulated board" as described by the RIGs.</t>
  </si>
  <si>
    <t>Due to the sensitivity of the underlying data for the CEO's total remuneration to company's UK employees remuneration, backup has not been provided for this ratio.</t>
  </si>
  <si>
    <t>This is available from Stephen Pigott, Head of Employee Relations, Policy and Reward.</t>
  </si>
  <si>
    <t>nominal</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</si>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</sst>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4" formatCode="0.000%"/>
    <numFmt numFmtId="355" formatCode="0.0000%"/>
    <numFmt numFmtId="356" formatCode="#,##0.00_);\(#,##0.00\);\-_)"/>
    <numFmt numFmtId="357" formatCode="#,##0.00%_);\(#,##0.00%\);\-_)"/>
    <numFmt numFmtId="358" formatCode="yyyy/mm"/>
    <numFmt numFmtId="359" formatCode="0.0000"/>
  </numFmts>
  <fonts count="30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
      <b/>
      <sz val="9"/>
      <color indexed="81"/>
      <name val="Tahoma"/>
      <family val="2"/>
    </font>
    <font>
      <sz val="9"/>
      <color indexed="81"/>
      <name val="Tahoma"/>
      <family val="2"/>
    </font>
  </fonts>
  <fills count="14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
      <patternFill patternType="solid">
        <fgColor rgb="FFFFFFCC"/>
        <bgColor rgb="FF000000"/>
      </patternFill>
    </fill>
  </fills>
  <borders count="2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hair">
        <color rgb="FF808080"/>
      </top>
      <bottom style="hair">
        <color rgb="FF808080"/>
      </bottom>
      <diagonal/>
    </border>
    <border>
      <left/>
      <right/>
      <top/>
      <bottom style="hair">
        <color rgb="FF808080"/>
      </bottom>
      <diagonal/>
    </border>
  </borders>
  <cellStyleXfs count="51707">
    <xf numFmtId="0" fontId="0" fillId="0" borderId="0"/>
    <xf numFmtId="169" fontId="9" fillId="0" borderId="0" applyFont="0" applyFill="0" applyBorder="0" applyAlignment="0" applyProtection="0"/>
    <xf numFmtId="169" fontId="11" fillId="0" borderId="0" applyFont="0" applyFill="0" applyBorder="0" applyAlignment="0" applyProtection="0"/>
    <xf numFmtId="0" fontId="11" fillId="0" borderId="0"/>
    <xf numFmtId="0" fontId="14" fillId="0" borderId="0"/>
    <xf numFmtId="0" fontId="11" fillId="0" borderId="0"/>
    <xf numFmtId="171" fontId="11" fillId="0" borderId="0" applyFont="0" applyFill="0" applyBorder="0" applyAlignment="0" applyProtection="0"/>
    <xf numFmtId="0" fontId="14" fillId="0" borderId="0"/>
    <xf numFmtId="0" fontId="14" fillId="0" borderId="0"/>
    <xf numFmtId="0" fontId="14" fillId="0" borderId="0"/>
    <xf numFmtId="0" fontId="14" fillId="0" borderId="0"/>
    <xf numFmtId="0" fontId="15"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9" fontId="12" fillId="0" borderId="0" applyFont="0" applyFill="0" applyBorder="0" applyAlignment="0" applyProtection="0"/>
    <xf numFmtId="4" fontId="18" fillId="18" borderId="3" applyNumberFormat="0" applyProtection="0">
      <alignment vertical="center"/>
    </xf>
    <xf numFmtId="4" fontId="19" fillId="18" borderId="3" applyNumberFormat="0" applyProtection="0">
      <alignment vertical="center"/>
    </xf>
    <xf numFmtId="4" fontId="18" fillId="18" borderId="3" applyNumberFormat="0" applyProtection="0">
      <alignment horizontal="left" vertical="center" indent="1"/>
    </xf>
    <xf numFmtId="0" fontId="18" fillId="18" borderId="3" applyNumberFormat="0" applyProtection="0">
      <alignment horizontal="left" vertical="top" indent="1"/>
    </xf>
    <xf numFmtId="4" fontId="18" fillId="19" borderId="0" applyNumberFormat="0" applyProtection="0">
      <alignment horizontal="left" vertical="center" indent="1"/>
    </xf>
    <xf numFmtId="4" fontId="20" fillId="20" borderId="3" applyNumberFormat="0" applyProtection="0">
      <alignment horizontal="right" vertical="center"/>
    </xf>
    <xf numFmtId="4" fontId="20" fillId="21" borderId="3" applyNumberFormat="0" applyProtection="0">
      <alignment horizontal="right" vertical="center"/>
    </xf>
    <xf numFmtId="4" fontId="20" fillId="22" borderId="3" applyNumberFormat="0" applyProtection="0">
      <alignment horizontal="right" vertical="center"/>
    </xf>
    <xf numFmtId="4" fontId="20" fillId="23" borderId="3" applyNumberFormat="0" applyProtection="0">
      <alignment horizontal="right" vertical="center"/>
    </xf>
    <xf numFmtId="4" fontId="20" fillId="24" borderId="3" applyNumberFormat="0" applyProtection="0">
      <alignment horizontal="right" vertical="center"/>
    </xf>
    <xf numFmtId="4" fontId="20" fillId="25" borderId="3" applyNumberFormat="0" applyProtection="0">
      <alignment horizontal="right" vertical="center"/>
    </xf>
    <xf numFmtId="4" fontId="20" fillId="26" borderId="3" applyNumberFormat="0" applyProtection="0">
      <alignment horizontal="right" vertical="center"/>
    </xf>
    <xf numFmtId="4" fontId="20" fillId="27" borderId="3" applyNumberFormat="0" applyProtection="0">
      <alignment horizontal="right" vertical="center"/>
    </xf>
    <xf numFmtId="4" fontId="20" fillId="28" borderId="3" applyNumberFormat="0" applyProtection="0">
      <alignment horizontal="right" vertical="center"/>
    </xf>
    <xf numFmtId="4" fontId="18" fillId="29" borderId="4" applyNumberFormat="0" applyProtection="0">
      <alignment horizontal="left" vertical="center" indent="1"/>
    </xf>
    <xf numFmtId="4" fontId="20" fillId="30" borderId="0" applyNumberFormat="0" applyProtection="0">
      <alignment horizontal="left" vertical="center" indent="1"/>
    </xf>
    <xf numFmtId="4" fontId="21" fillId="31" borderId="0" applyNumberFormat="0" applyProtection="0">
      <alignment horizontal="left" vertical="center" indent="1"/>
    </xf>
    <xf numFmtId="4" fontId="20" fillId="19" borderId="3" applyNumberFormat="0" applyProtection="0">
      <alignment horizontal="right" vertical="center"/>
    </xf>
    <xf numFmtId="4" fontId="20" fillId="30" borderId="0" applyNumberFormat="0" applyProtection="0">
      <alignment horizontal="left" vertical="center" indent="1"/>
    </xf>
    <xf numFmtId="4" fontId="20" fillId="19" borderId="0"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top" indent="1"/>
    </xf>
    <xf numFmtId="0" fontId="11" fillId="19" borderId="3" applyNumberFormat="0" applyProtection="0">
      <alignment horizontal="left" vertical="center" indent="1"/>
    </xf>
    <xf numFmtId="0" fontId="11" fillId="19" borderId="3" applyNumberFormat="0" applyProtection="0">
      <alignment horizontal="left" vertical="top" indent="1"/>
    </xf>
    <xf numFmtId="0" fontId="11" fillId="32" borderId="3" applyNumberFormat="0" applyProtection="0">
      <alignment horizontal="left" vertical="center" indent="1"/>
    </xf>
    <xf numFmtId="0" fontId="11" fillId="32" borderId="3" applyNumberFormat="0" applyProtection="0">
      <alignment horizontal="left" vertical="top" indent="1"/>
    </xf>
    <xf numFmtId="0" fontId="11" fillId="30" borderId="3" applyNumberFormat="0" applyProtection="0">
      <alignment horizontal="left" vertical="center" indent="1"/>
    </xf>
    <xf numFmtId="0" fontId="11" fillId="30" borderId="3" applyNumberFormat="0" applyProtection="0">
      <alignment horizontal="left" vertical="top" indent="1"/>
    </xf>
    <xf numFmtId="0" fontId="11" fillId="33" borderId="1" applyNumberFormat="0">
      <protection locked="0"/>
    </xf>
    <xf numFmtId="4" fontId="20" fillId="34" borderId="3" applyNumberFormat="0" applyProtection="0">
      <alignment vertical="center"/>
    </xf>
    <xf numFmtId="4" fontId="22" fillId="34" borderId="3" applyNumberFormat="0" applyProtection="0">
      <alignment vertical="center"/>
    </xf>
    <xf numFmtId="4" fontId="20" fillId="34" borderId="3" applyNumberFormat="0" applyProtection="0">
      <alignment horizontal="left" vertical="center" indent="1"/>
    </xf>
    <xf numFmtId="0" fontId="20" fillId="34" borderId="3" applyNumberFormat="0" applyProtection="0">
      <alignment horizontal="left" vertical="top" indent="1"/>
    </xf>
    <xf numFmtId="4" fontId="20" fillId="30" borderId="3" applyNumberFormat="0" applyProtection="0">
      <alignment horizontal="right" vertical="center"/>
    </xf>
    <xf numFmtId="4" fontId="22" fillId="30" borderId="3" applyNumberFormat="0" applyProtection="0">
      <alignment horizontal="right" vertical="center"/>
    </xf>
    <xf numFmtId="4" fontId="20" fillId="19" borderId="3" applyNumberFormat="0" applyProtection="0">
      <alignment horizontal="left" vertical="center" indent="1"/>
    </xf>
    <xf numFmtId="0" fontId="20" fillId="19" borderId="3" applyNumberFormat="0" applyProtection="0">
      <alignment horizontal="left" vertical="top" indent="1"/>
    </xf>
    <xf numFmtId="4" fontId="23" fillId="35" borderId="0" applyNumberFormat="0" applyProtection="0">
      <alignment horizontal="left" vertical="center" indent="1"/>
    </xf>
    <xf numFmtId="4" fontId="24" fillId="30" borderId="3" applyNumberFormat="0" applyProtection="0">
      <alignment horizontal="right" vertical="center"/>
    </xf>
    <xf numFmtId="0" fontId="25" fillId="0" borderId="0" applyNumberFormat="0" applyFill="0" applyBorder="0" applyAlignment="0" applyProtection="0"/>
    <xf numFmtId="0" fontId="11" fillId="0" borderId="0"/>
    <xf numFmtId="9" fontId="26" fillId="0" borderId="0" applyFont="0" applyFill="0" applyBorder="0" applyAlignment="0" applyProtection="0"/>
    <xf numFmtId="0" fontId="9" fillId="0" borderId="0"/>
    <xf numFmtId="0" fontId="11" fillId="33" borderId="6" applyNumberFormat="0">
      <protection locked="0"/>
    </xf>
    <xf numFmtId="9" fontId="9" fillId="0" borderId="0" applyFont="0" applyFill="0" applyBorder="0" applyAlignment="0" applyProtection="0"/>
    <xf numFmtId="0" fontId="11" fillId="0" borderId="0"/>
    <xf numFmtId="0" fontId="9" fillId="0" borderId="0"/>
    <xf numFmtId="0" fontId="11" fillId="0" borderId="0"/>
    <xf numFmtId="172" fontId="9" fillId="3" borderId="6">
      <alignment vertical="center"/>
      <protection locked="0"/>
    </xf>
    <xf numFmtId="172" fontId="9" fillId="43" borderId="6">
      <alignment vertical="center"/>
    </xf>
    <xf numFmtId="9" fontId="14" fillId="0" borderId="0" applyFont="0" applyFill="0" applyBorder="0" applyAlignment="0" applyProtection="0"/>
    <xf numFmtId="0" fontId="27" fillId="0" borderId="0">
      <alignment vertical="top"/>
    </xf>
    <xf numFmtId="0" fontId="14" fillId="0" borderId="0"/>
    <xf numFmtId="0" fontId="9" fillId="0" borderId="0"/>
    <xf numFmtId="0" fontId="30" fillId="0" borderId="0"/>
    <xf numFmtId="0" fontId="11" fillId="0" borderId="0"/>
    <xf numFmtId="0" fontId="11" fillId="0" borderId="0"/>
    <xf numFmtId="0" fontId="27" fillId="0" borderId="0"/>
    <xf numFmtId="172" fontId="9" fillId="3" borderId="6">
      <alignment vertical="center"/>
      <protection locked="0"/>
    </xf>
    <xf numFmtId="0" fontId="36" fillId="0" borderId="0" applyNumberFormat="0" applyFill="0" applyBorder="0" applyAlignment="0" applyProtection="0"/>
    <xf numFmtId="0" fontId="27" fillId="0" borderId="0"/>
    <xf numFmtId="173" fontId="39" fillId="48" borderId="0" applyBorder="0">
      <alignment vertical="center"/>
    </xf>
    <xf numFmtId="169" fontId="9" fillId="0" borderId="0" applyFont="0" applyFill="0" applyBorder="0" applyAlignment="0" applyProtection="0"/>
    <xf numFmtId="173" fontId="40" fillId="49" borderId="0"/>
    <xf numFmtId="0" fontId="14" fillId="0" borderId="0"/>
    <xf numFmtId="0" fontId="30" fillId="0" borderId="0"/>
    <xf numFmtId="0" fontId="9" fillId="0" borderId="0"/>
    <xf numFmtId="0" fontId="9"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5" fontId="11" fillId="0" borderId="0">
      <alignment vertical="top"/>
    </xf>
    <xf numFmtId="185" fontId="11" fillId="0" borderId="0">
      <alignment vertical="top"/>
    </xf>
    <xf numFmtId="186" fontId="45" fillId="0" borderId="0"/>
    <xf numFmtId="187" fontId="11" fillId="0" borderId="0"/>
    <xf numFmtId="187" fontId="11" fillId="0" borderId="0"/>
    <xf numFmtId="187" fontId="11" fillId="0" borderId="0"/>
    <xf numFmtId="187" fontId="11" fillId="0" borderId="0"/>
    <xf numFmtId="187" fontId="11" fillId="0" borderId="0"/>
    <xf numFmtId="185" fontId="46" fillId="0" borderId="0"/>
    <xf numFmtId="186" fontId="45" fillId="0" borderId="0"/>
    <xf numFmtId="187" fontId="11" fillId="0" borderId="0"/>
    <xf numFmtId="187" fontId="11" fillId="0" borderId="0"/>
    <xf numFmtId="187" fontId="11" fillId="0" borderId="0"/>
    <xf numFmtId="187" fontId="11" fillId="0" borderId="0"/>
    <xf numFmtId="187" fontId="11" fillId="0" borderId="0"/>
    <xf numFmtId="188" fontId="47" fillId="0" borderId="0" applyFont="0" applyFill="0" applyBorder="0" applyAlignment="0" applyProtection="0">
      <protection locked="0"/>
    </xf>
    <xf numFmtId="189" fontId="46" fillId="0" borderId="0">
      <alignment horizontal="right"/>
    </xf>
    <xf numFmtId="190" fontId="46" fillId="46" borderId="0"/>
    <xf numFmtId="191" fontId="46" fillId="46" borderId="0"/>
    <xf numFmtId="192" fontId="46" fillId="46" borderId="0"/>
    <xf numFmtId="193" fontId="46" fillId="46" borderId="0">
      <alignment horizontal="right"/>
    </xf>
    <xf numFmtId="0" fontId="14" fillId="0" borderId="0"/>
    <xf numFmtId="179" fontId="14" fillId="0" borderId="0"/>
    <xf numFmtId="179"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4"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185" fontId="11" fillId="0" borderId="0"/>
    <xf numFmtId="0" fontId="11" fillId="0" borderId="0"/>
    <xf numFmtId="185" fontId="14" fillId="0" borderId="0"/>
    <xf numFmtId="185" fontId="11" fillId="0" borderId="0"/>
    <xf numFmtId="185" fontId="11" fillId="0" borderId="0"/>
    <xf numFmtId="185"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4" fillId="0" borderId="0"/>
    <xf numFmtId="0" fontId="11" fillId="0" borderId="0"/>
    <xf numFmtId="0" fontId="11" fillId="0" borderId="0"/>
    <xf numFmtId="0" fontId="14" fillId="0" borderId="0"/>
    <xf numFmtId="0" fontId="14" fillId="0" borderId="0"/>
    <xf numFmtId="0" fontId="11" fillId="0" borderId="0"/>
    <xf numFmtId="0" fontId="14" fillId="0" borderId="0"/>
    <xf numFmtId="0" fontId="14" fillId="0" borderId="0"/>
    <xf numFmtId="185" fontId="14" fillId="0" borderId="0"/>
    <xf numFmtId="0" fontId="11" fillId="0" borderId="0"/>
    <xf numFmtId="0" fontId="11" fillId="0" borderId="0"/>
    <xf numFmtId="0" fontId="11" fillId="0" borderId="0"/>
    <xf numFmtId="19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185" fontId="11" fillId="0" borderId="0" applyBorder="0"/>
    <xf numFmtId="185" fontId="48" fillId="0" borderId="0" applyNumberFormat="0" applyFont="0" applyFill="0" applyBorder="0" applyAlignment="0" applyProtection="0"/>
    <xf numFmtId="167" fontId="11" fillId="0" borderId="0" applyFont="0" applyFill="0" applyBorder="0" applyAlignment="0" applyProtection="0"/>
    <xf numFmtId="185" fontId="43" fillId="0" borderId="0" applyNumberFormat="0" applyFill="0" applyBorder="0" applyAlignment="0" applyProtection="0">
      <alignment vertical="top"/>
      <protection locked="0"/>
    </xf>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49" fillId="0" borderId="0">
      <alignment horizontal="right" vertical="center"/>
    </xf>
    <xf numFmtId="0" fontId="50" fillId="0" borderId="0"/>
    <xf numFmtId="0" fontId="50" fillId="0" borderId="0"/>
    <xf numFmtId="0" fontId="50" fillId="0" borderId="0"/>
    <xf numFmtId="0" fontId="50" fillId="0" borderId="0"/>
    <xf numFmtId="0" fontId="50" fillId="0" borderId="0"/>
    <xf numFmtId="0" fontId="11" fillId="0" borderId="0"/>
    <xf numFmtId="0" fontId="11" fillId="0" borderId="0"/>
    <xf numFmtId="185" fontId="50" fillId="0" borderId="0"/>
    <xf numFmtId="38" fontId="51" fillId="0" borderId="0" applyFont="0" applyFill="0" applyBorder="0" applyAlignment="0" applyProtection="0"/>
    <xf numFmtId="38" fontId="5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51" fillId="0" borderId="0" applyFont="0" applyFill="0" applyBorder="0" applyAlignment="0" applyProtection="0"/>
    <xf numFmtId="38" fontId="51" fillId="0" borderId="0" applyFont="0" applyFill="0" applyBorder="0" applyAlignment="0" applyProtection="0"/>
    <xf numFmtId="185" fontId="50" fillId="0" borderId="0"/>
    <xf numFmtId="185" fontId="11" fillId="0" borderId="0" applyFont="0" applyFill="0" applyBorder="0" applyAlignment="0" applyProtection="0"/>
    <xf numFmtId="185" fontId="50" fillId="0" borderId="0"/>
    <xf numFmtId="185" fontId="50"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applyFont="0" applyFill="0" applyBorder="0" applyAlignment="0" applyProtection="0"/>
    <xf numFmtId="0" fontId="50" fillId="0" borderId="0"/>
    <xf numFmtId="185" fontId="11" fillId="0" borderId="0"/>
    <xf numFmtId="185" fontId="11" fillId="0" borderId="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51" fillId="0" borderId="0" applyFont="0" applyFill="0" applyBorder="0" applyAlignment="0" applyProtection="0"/>
    <xf numFmtId="197" fontId="11" fillId="0" borderId="0" applyFont="0" applyFill="0" applyBorder="0" applyAlignment="0" applyProtection="0"/>
    <xf numFmtId="185" fontId="45" fillId="0" borderId="0" applyFont="0" applyFill="0" applyBorder="0" applyAlignment="0" applyProtection="0"/>
    <xf numFmtId="197" fontId="11" fillId="0" borderId="0" applyFont="0" applyFill="0" applyBorder="0" applyAlignment="0" applyProtection="0"/>
    <xf numFmtId="185" fontId="11" fillId="0" borderId="0"/>
    <xf numFmtId="185" fontId="11" fillId="0" borderId="0"/>
    <xf numFmtId="0" fontId="11" fillId="0" borderId="0"/>
    <xf numFmtId="185" fontId="50" fillId="0" borderId="0"/>
    <xf numFmtId="0" fontId="11" fillId="0" borderId="0" applyFont="0" applyFill="0" applyBorder="0" applyAlignment="0" applyProtection="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85" fontId="45"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39" fontId="11" fillId="0" borderId="0" applyFont="0" applyFill="0" applyBorder="0" applyAlignment="0" applyProtection="0"/>
    <xf numFmtId="185" fontId="45" fillId="0" borderId="0" applyFont="0" applyFill="0" applyBorder="0" applyAlignment="0" applyProtection="0"/>
    <xf numFmtId="39" fontId="11" fillId="0" borderId="0" applyFont="0" applyFill="0" applyBorder="0" applyAlignment="0" applyProtection="0"/>
    <xf numFmtId="185" fontId="11" fillId="0" borderId="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5" fontId="50" fillId="0" borderId="0"/>
    <xf numFmtId="185" fontId="43" fillId="0" borderId="0"/>
    <xf numFmtId="185" fontId="43" fillId="0" borderId="0"/>
    <xf numFmtId="38" fontId="51" fillId="0" borderId="0" applyAlignment="0" applyProtection="0"/>
    <xf numFmtId="38" fontId="51" fillId="0" borderId="0" applyFont="0" applyBorder="0" applyAlignment="0" applyProtection="0"/>
    <xf numFmtId="200" fontId="11" fillId="0" borderId="0" applyFont="0" applyFill="0" applyBorder="0" applyProtection="0">
      <alignment vertical="top"/>
    </xf>
    <xf numFmtId="38" fontId="51" fillId="0" borderId="0" applyFont="0" applyFill="0" applyBorder="0" applyAlignment="0" applyProtection="0"/>
    <xf numFmtId="38" fontId="5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5" fontId="50" fillId="0" borderId="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0" fillId="0" borderId="0"/>
    <xf numFmtId="38" fontId="51" fillId="0" borderId="0" applyFont="0" applyFill="0" applyBorder="0" applyAlignment="0" applyProtection="0"/>
    <xf numFmtId="38" fontId="5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185" fontId="50" fillId="0" borderId="0"/>
    <xf numFmtId="38" fontId="5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xf numFmtId="38" fontId="42" fillId="0" borderId="0" applyAlignment="0" applyProtection="0"/>
    <xf numFmtId="0" fontId="11" fillId="0" borderId="0" applyFont="0" applyFill="0" applyBorder="0" applyAlignment="0" applyProtection="0"/>
    <xf numFmtId="200" fontId="11" fillId="0" borderId="0" applyFont="0" applyFill="0" applyBorder="0" applyProtection="0">
      <alignment vertical="top"/>
    </xf>
    <xf numFmtId="38" fontId="42" fillId="0" borderId="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11" fillId="0" borderId="0"/>
    <xf numFmtId="185" fontId="50" fillId="0" borderId="0"/>
    <xf numFmtId="201" fontId="11" fillId="0" borderId="0" applyFont="0" applyFill="0" applyBorder="0" applyAlignment="0" applyProtection="0"/>
    <xf numFmtId="185" fontId="45" fillId="0" borderId="0" applyFont="0" applyFill="0" applyBorder="0" applyAlignment="0" applyProtection="0"/>
    <xf numFmtId="202" fontId="11" fillId="0" borderId="0" applyFont="0" applyFill="0" applyBorder="0" applyAlignment="0" applyProtection="0"/>
    <xf numFmtId="201" fontId="11" fillId="0" borderId="0" applyFont="0" applyFill="0" applyBorder="0" applyAlignment="0" applyProtection="0"/>
    <xf numFmtId="202" fontId="11" fillId="0" borderId="0" applyFont="0" applyFill="0" applyBorder="0" applyAlignment="0" applyProtection="0"/>
    <xf numFmtId="203" fontId="11" fillId="0" borderId="0" applyFont="0" applyFill="0" applyBorder="0" applyAlignment="0" applyProtection="0"/>
    <xf numFmtId="185" fontId="45" fillId="0" borderId="0" applyFont="0" applyFill="0" applyBorder="0" applyAlignment="0" applyProtection="0"/>
    <xf numFmtId="204" fontId="11"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0" fontId="11" fillId="0" borderId="0" applyFont="0" applyFill="0" applyBorder="0" applyAlignment="0" applyProtection="0"/>
    <xf numFmtId="185" fontId="50" fillId="0" borderId="0"/>
    <xf numFmtId="185" fontId="50" fillId="0" borderId="0"/>
    <xf numFmtId="185" fontId="11" fillId="0" borderId="0"/>
    <xf numFmtId="0" fontId="11" fillId="0" borderId="0" applyFont="0" applyFill="0" applyBorder="0" applyAlignment="0" applyProtection="0"/>
    <xf numFmtId="185" fontId="50" fillId="0" borderId="0"/>
    <xf numFmtId="38" fontId="42" fillId="0" borderId="0" applyAlignment="0" applyProtection="0"/>
    <xf numFmtId="185" fontId="11" fillId="0" borderId="0"/>
    <xf numFmtId="185" fontId="11" fillId="0" borderId="0"/>
    <xf numFmtId="38" fontId="51" fillId="0" borderId="0" applyFont="0" applyFill="0" applyBorder="0" applyAlignment="0" applyProtection="0"/>
    <xf numFmtId="38" fontId="51" fillId="0" borderId="0" applyFont="0" applyFill="0" applyBorder="0" applyAlignment="0" applyProtection="0"/>
    <xf numFmtId="205" fontId="11" fillId="0" borderId="0" applyFont="0" applyFill="0" applyBorder="0" applyAlignment="0" applyProtection="0"/>
    <xf numFmtId="185" fontId="45" fillId="0" borderId="0" applyFont="0" applyFill="0" applyBorder="0" applyAlignment="0" applyProtection="0"/>
    <xf numFmtId="181" fontId="11" fillId="0" borderId="0" applyFont="0" applyFill="0" applyBorder="0" applyAlignment="0" applyProtection="0"/>
    <xf numFmtId="205" fontId="11" fillId="0" borderId="0" applyFont="0" applyFill="0" applyBorder="0" applyAlignment="0" applyProtection="0"/>
    <xf numFmtId="181" fontId="11" fillId="0" borderId="0" applyFont="0" applyFill="0" applyBorder="0" applyAlignment="0" applyProtection="0"/>
    <xf numFmtId="206" fontId="11" fillId="0" borderId="0" applyFont="0" applyFill="0" applyBorder="0" applyAlignment="0" applyProtection="0"/>
    <xf numFmtId="185" fontId="45" fillId="0" borderId="0" applyFont="0" applyFill="0" applyBorder="0" applyAlignment="0" applyProtection="0"/>
    <xf numFmtId="207" fontId="11" fillId="0" borderId="0" applyFont="0" applyFill="0" applyBorder="0" applyAlignment="0" applyProtection="0"/>
    <xf numFmtId="206" fontId="11" fillId="0" borderId="0" applyFont="0" applyFill="0" applyBorder="0" applyAlignment="0" applyProtection="0"/>
    <xf numFmtId="207" fontId="11" fillId="0" borderId="0" applyFont="0" applyFill="0" applyBorder="0" applyAlignment="0" applyProtection="0"/>
    <xf numFmtId="185" fontId="52" fillId="0" borderId="0"/>
    <xf numFmtId="185" fontId="52" fillId="0" borderId="0"/>
    <xf numFmtId="185" fontId="52" fillId="0" borderId="0"/>
    <xf numFmtId="185" fontId="11" fillId="0" borderId="0" applyFont="0" applyFill="0" applyBorder="0" applyAlignment="0" applyProtection="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50" fillId="0" borderId="0"/>
    <xf numFmtId="0" fontId="11" fillId="0" borderId="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xf numFmtId="0"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0" fontId="11" fillId="0" borderId="0" applyFont="0" applyFill="0" applyBorder="0" applyAlignment="0" applyProtection="0"/>
    <xf numFmtId="185" fontId="53" fillId="0" borderId="0" applyNumberFormat="0" applyFill="0" applyBorder="0" applyProtection="0">
      <alignment horizontal="left"/>
    </xf>
    <xf numFmtId="185" fontId="54"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5" fontId="52" fillId="0" borderId="0"/>
    <xf numFmtId="185" fontId="52" fillId="0" borderId="0"/>
    <xf numFmtId="208" fontId="55" fillId="0" borderId="0"/>
    <xf numFmtId="185" fontId="43" fillId="0" borderId="0"/>
    <xf numFmtId="185" fontId="43" fillId="0" borderId="0"/>
    <xf numFmtId="185" fontId="52" fillId="0" borderId="0"/>
    <xf numFmtId="185" fontId="52" fillId="0" borderId="0"/>
    <xf numFmtId="185" fontId="52" fillId="0" borderId="0"/>
    <xf numFmtId="0" fontId="11" fillId="0" borderId="0" applyFont="0" applyFill="0" applyBorder="0" applyAlignment="0" applyProtection="0"/>
    <xf numFmtId="185" fontId="11" fillId="0" borderId="0"/>
    <xf numFmtId="185" fontId="50" fillId="0" borderId="0"/>
    <xf numFmtId="208" fontId="5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09" fontId="56" fillId="0" borderId="0" applyFont="0" applyFill="0" applyBorder="0" applyAlignment="0" applyProtection="0"/>
    <xf numFmtId="210" fontId="43" fillId="0" borderId="0" applyFont="0" applyFill="0" applyBorder="0" applyAlignment="0" applyProtection="0"/>
    <xf numFmtId="211" fontId="57" fillId="0" borderId="0"/>
    <xf numFmtId="212" fontId="43" fillId="0" borderId="0" applyFont="0" applyFill="0" applyBorder="0" applyAlignment="0" applyProtection="0"/>
    <xf numFmtId="213" fontId="56" fillId="0" borderId="0" applyFont="0" applyFill="0" applyBorder="0" applyAlignment="0" applyProtection="0"/>
    <xf numFmtId="0" fontId="14" fillId="0" borderId="0"/>
    <xf numFmtId="0" fontId="11" fillId="0" borderId="0"/>
    <xf numFmtId="0" fontId="11" fillId="0" borderId="0"/>
    <xf numFmtId="0" fontId="11" fillId="0" borderId="0"/>
    <xf numFmtId="19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1" fillId="0" borderId="0"/>
    <xf numFmtId="0" fontId="11" fillId="0" borderId="0"/>
    <xf numFmtId="0" fontId="11" fillId="0" borderId="0"/>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185" fontId="11" fillId="0" borderId="0"/>
    <xf numFmtId="214" fontId="11" fillId="0" borderId="0" applyBorder="0"/>
    <xf numFmtId="0" fontId="11" fillId="0" borderId="0"/>
    <xf numFmtId="0" fontId="11" fillId="0" borderId="0"/>
    <xf numFmtId="185" fontId="11" fillId="0" borderId="0" applyBorder="0"/>
    <xf numFmtId="214" fontId="11" fillId="0" borderId="0" applyBorder="0"/>
    <xf numFmtId="208" fontId="55" fillId="0" borderId="0"/>
    <xf numFmtId="215" fontId="57" fillId="0" borderId="0"/>
    <xf numFmtId="215" fontId="58" fillId="0" borderId="0"/>
    <xf numFmtId="216" fontId="57" fillId="0" borderId="0"/>
    <xf numFmtId="217" fontId="47" fillId="0" borderId="0" applyFont="0" applyFill="0" applyBorder="0" applyAlignment="0" applyProtection="0">
      <protection locked="0"/>
    </xf>
    <xf numFmtId="218" fontId="59" fillId="0" borderId="0"/>
    <xf numFmtId="185" fontId="58" fillId="0" borderId="0"/>
    <xf numFmtId="218" fontId="60" fillId="0" borderId="0"/>
    <xf numFmtId="0" fontId="20" fillId="19"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20" fillId="19"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194" fontId="61" fillId="56"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0" fillId="21"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94" fontId="61" fillId="20"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20" fillId="34"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194" fontId="61" fillId="57"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20" fillId="33"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194" fontId="61" fillId="58"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20" fillId="32"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194" fontId="61" fillId="59"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20" fillId="2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194" fontId="61" fillId="60" borderId="0" applyNumberFormat="0" applyBorder="0" applyAlignment="0" applyProtection="0"/>
    <xf numFmtId="219" fontId="57" fillId="0" borderId="0"/>
    <xf numFmtId="220" fontId="58" fillId="0" borderId="0"/>
    <xf numFmtId="219" fontId="62" fillId="0" borderId="0"/>
    <xf numFmtId="0" fontId="11" fillId="0" borderId="0"/>
    <xf numFmtId="0" fontId="11" fillId="0" borderId="0"/>
    <xf numFmtId="221" fontId="57" fillId="0" borderId="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94" fontId="61" fillId="32"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0"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1" fillId="21"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20"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1" fillId="28"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20" fillId="61"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194" fontId="61" fillId="58"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20"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94" fontId="61" fillId="32"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0" fillId="6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94" fontId="61" fillId="23"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63" fillId="3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94" fontId="64" fillId="62"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63"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94" fontId="64" fillId="21"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63"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194" fontId="64" fillId="28"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63" fillId="61"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194" fontId="64" fillId="63"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63" fillId="31"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94" fontId="64" fillId="64"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63" fillId="6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194" fontId="64" fillId="24" borderId="0" applyNumberFormat="0" applyBorder="0" applyAlignment="0" applyProtection="0"/>
    <xf numFmtId="0" fontId="45" fillId="0" borderId="0"/>
    <xf numFmtId="0" fontId="15" fillId="65" borderId="0" applyNumberFormat="0" applyBorder="0" applyAlignment="0" applyProtection="0"/>
    <xf numFmtId="0" fontId="15" fillId="12"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194" fontId="64" fillId="67" borderId="0" applyNumberFormat="0" applyBorder="0" applyAlignment="0" applyProtection="0"/>
    <xf numFmtId="0" fontId="15" fillId="68" borderId="0" applyNumberFormat="0" applyBorder="0" applyAlignment="0" applyProtection="0"/>
    <xf numFmtId="0" fontId="15" fillId="11"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6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94" fontId="64" fillId="22" borderId="0" applyNumberFormat="0" applyBorder="0" applyAlignment="0" applyProtection="0"/>
    <xf numFmtId="0" fontId="15" fillId="70" borderId="0" applyNumberFormat="0" applyBorder="0" applyAlignment="0" applyProtection="0"/>
    <xf numFmtId="0" fontId="15" fillId="71"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9"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94" fontId="64" fillId="26" borderId="0" applyNumberFormat="0" applyBorder="0" applyAlignment="0" applyProtection="0"/>
    <xf numFmtId="0" fontId="15" fillId="68" borderId="0" applyNumberFormat="0" applyBorder="0" applyAlignment="0" applyProtection="0"/>
    <xf numFmtId="0" fontId="15" fillId="9"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7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194" fontId="64" fillId="63"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7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94" fontId="64" fillId="64"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7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94" fontId="64" fillId="25" borderId="0" applyNumberFormat="0" applyBorder="0" applyAlignment="0" applyProtection="0"/>
    <xf numFmtId="222" fontId="65" fillId="0" borderId="9">
      <alignment horizontal="centerContinuous"/>
    </xf>
    <xf numFmtId="223" fontId="66" fillId="40" borderId="12">
      <alignment horizontal="center" vertical="center"/>
    </xf>
    <xf numFmtId="214" fontId="47" fillId="0" borderId="0" applyFont="0" applyFill="0" applyBorder="0" applyAlignment="0" applyProtection="0"/>
    <xf numFmtId="185" fontId="47" fillId="0" borderId="0" applyFont="0" applyFill="0" applyBorder="0" applyAlignment="0" applyProtection="0"/>
    <xf numFmtId="208" fontId="67" fillId="0" borderId="0" applyNumberFormat="0" applyFont="0" applyFill="0" applyBorder="0" applyProtection="0">
      <alignment horizontal="center"/>
    </xf>
    <xf numFmtId="224" fontId="68" fillId="0" borderId="0">
      <alignment horizontal="left"/>
    </xf>
    <xf numFmtId="0" fontId="59" fillId="0" borderId="0"/>
    <xf numFmtId="225" fontId="69" fillId="0" borderId="0" applyFont="0" applyFill="0" applyBorder="0" applyAlignment="0" applyProtection="0"/>
    <xf numFmtId="185" fontId="47" fillId="0" borderId="0" applyFont="0" applyFill="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1" fillId="20"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1" fillId="20"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1" fillId="20"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1" fillId="20"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1" fillId="20"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2" fillId="55"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194" fontId="74" fillId="20" borderId="0" applyNumberFormat="0" applyBorder="0" applyAlignment="0" applyProtection="0"/>
    <xf numFmtId="226" fontId="75" fillId="75" borderId="7" applyNumberFormat="0" applyBorder="0" applyAlignment="0">
      <alignment horizontal="centerContinuous" vertical="center"/>
      <protection hidden="1"/>
    </xf>
    <xf numFmtId="1" fontId="76" fillId="76" borderId="10" applyNumberFormat="0" applyBorder="0" applyAlignment="0">
      <alignment horizontal="center" vertical="top" wrapText="1"/>
      <protection hidden="1"/>
    </xf>
    <xf numFmtId="227" fontId="11" fillId="0" borderId="0" applyFont="0" applyFill="0" applyBorder="0" applyAlignment="0" applyProtection="0"/>
    <xf numFmtId="197" fontId="11" fillId="0" borderId="0" applyNumberFormat="0" applyFont="0" applyAlignment="0" applyProtection="0"/>
    <xf numFmtId="185" fontId="77" fillId="77" borderId="0">
      <alignment horizontal="left"/>
    </xf>
    <xf numFmtId="228" fontId="78" fillId="0" borderId="0" applyFill="0" applyBorder="0" applyAlignment="0" applyProtection="0"/>
    <xf numFmtId="2" fontId="79" fillId="50" borderId="11" applyProtection="0">
      <alignment horizontal="left"/>
      <protection locked="0"/>
    </xf>
    <xf numFmtId="185" fontId="66" fillId="40" borderId="0" applyNumberFormat="0" applyFont="0" applyAlignment="0">
      <alignment horizontal="center"/>
    </xf>
    <xf numFmtId="229" fontId="80" fillId="40" borderId="0" applyFont="0" applyFill="0" applyBorder="0" applyAlignment="0" applyProtection="0"/>
    <xf numFmtId="185" fontId="81" fillId="0" borderId="0" applyNumberFormat="0" applyFill="0" applyBorder="0" applyAlignment="0" applyProtection="0"/>
    <xf numFmtId="185" fontId="82" fillId="0" borderId="9" applyNumberFormat="0" applyFill="0" applyAlignment="0" applyProtection="0"/>
    <xf numFmtId="185" fontId="57" fillId="0" borderId="0"/>
    <xf numFmtId="230" fontId="83" fillId="45" borderId="0" applyFont="0" applyFill="0" applyBorder="0" applyAlignment="0" applyProtection="0"/>
    <xf numFmtId="231" fontId="45" fillId="0" borderId="0" applyAlignment="0" applyProtection="0"/>
    <xf numFmtId="49" fontId="55" fillId="0" borderId="0" applyNumberFormat="0" applyAlignment="0" applyProtection="0">
      <alignment horizontal="left"/>
    </xf>
    <xf numFmtId="49" fontId="84" fillId="0" borderId="13" applyNumberFormat="0" applyAlignment="0" applyProtection="0">
      <alignment horizontal="left" wrapText="1"/>
    </xf>
    <xf numFmtId="49" fontId="85" fillId="0" borderId="0" applyAlignment="0" applyProtection="0">
      <alignment horizontal="left"/>
    </xf>
    <xf numFmtId="232" fontId="43" fillId="0" borderId="0" applyFont="0" applyFill="0" applyBorder="0" applyAlignment="0" applyProtection="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6" fillId="0" borderId="0"/>
    <xf numFmtId="185" fontId="87" fillId="0" borderId="0"/>
    <xf numFmtId="233" fontId="45" fillId="0" borderId="0"/>
    <xf numFmtId="234" fontId="45" fillId="0" borderId="0"/>
    <xf numFmtId="235" fontId="45" fillId="0" borderId="0"/>
    <xf numFmtId="233" fontId="45" fillId="0" borderId="8"/>
    <xf numFmtId="234" fontId="45" fillId="0" borderId="8"/>
    <xf numFmtId="234" fontId="45" fillId="0" borderId="8"/>
    <xf numFmtId="235" fontId="45" fillId="0" borderId="8"/>
    <xf numFmtId="235" fontId="45" fillId="0" borderId="8"/>
    <xf numFmtId="233" fontId="45" fillId="0" borderId="8"/>
    <xf numFmtId="233" fontId="45" fillId="0" borderId="8"/>
    <xf numFmtId="233" fontId="45" fillId="0" borderId="0"/>
    <xf numFmtId="236" fontId="45" fillId="0" borderId="0"/>
    <xf numFmtId="185" fontId="47" fillId="0" borderId="0" applyFill="0" applyBorder="0" applyAlignment="0"/>
    <xf numFmtId="237" fontId="45" fillId="0" borderId="0"/>
    <xf numFmtId="238" fontId="45" fillId="0" borderId="0"/>
    <xf numFmtId="236" fontId="45" fillId="0" borderId="8"/>
    <xf numFmtId="237" fontId="45" fillId="0" borderId="8"/>
    <xf numFmtId="237" fontId="45" fillId="0" borderId="8"/>
    <xf numFmtId="238" fontId="45" fillId="0" borderId="8"/>
    <xf numFmtId="238" fontId="45" fillId="0" borderId="8"/>
    <xf numFmtId="236" fontId="45" fillId="0" borderId="8"/>
    <xf numFmtId="236" fontId="45" fillId="0" borderId="8"/>
    <xf numFmtId="236" fontId="45" fillId="0" borderId="0"/>
    <xf numFmtId="239" fontId="45" fillId="0" borderId="0">
      <alignment horizontal="right"/>
      <protection locked="0"/>
    </xf>
    <xf numFmtId="240" fontId="45" fillId="0" borderId="0">
      <alignment horizontal="right"/>
      <protection locked="0"/>
    </xf>
    <xf numFmtId="241" fontId="45" fillId="0" borderId="0"/>
    <xf numFmtId="242" fontId="45" fillId="0" borderId="0"/>
    <xf numFmtId="243" fontId="45" fillId="0" borderId="0"/>
    <xf numFmtId="241" fontId="45" fillId="0" borderId="8"/>
    <xf numFmtId="242" fontId="45" fillId="0" borderId="8"/>
    <xf numFmtId="242" fontId="45" fillId="0" borderId="8"/>
    <xf numFmtId="243" fontId="45" fillId="0" borderId="8"/>
    <xf numFmtId="243" fontId="45" fillId="0" borderId="8"/>
    <xf numFmtId="241" fontId="45" fillId="0" borderId="8"/>
    <xf numFmtId="241" fontId="45" fillId="0" borderId="8"/>
    <xf numFmtId="241" fontId="45" fillId="0" borderId="0"/>
    <xf numFmtId="244" fontId="11" fillId="46" borderId="0"/>
    <xf numFmtId="185" fontId="11" fillId="0" borderId="0">
      <alignment vertical="center"/>
    </xf>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8" fillId="78" borderId="14" applyNumberFormat="0" applyAlignment="0" applyProtection="0"/>
    <xf numFmtId="0" fontId="89" fillId="61"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8" fillId="78"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0" fontId="89" fillId="61" borderId="14" applyNumberFormat="0" applyAlignment="0" applyProtection="0"/>
    <xf numFmtId="194" fontId="90" fillId="61" borderId="14" applyNumberFormat="0" applyAlignment="0" applyProtection="0"/>
    <xf numFmtId="194" fontId="90" fillId="61" borderId="14" applyNumberFormat="0" applyAlignment="0" applyProtection="0"/>
    <xf numFmtId="38" fontId="91" fillId="0" borderId="0" applyNumberFormat="0" applyFill="0" applyBorder="0" applyAlignment="0" applyProtection="0"/>
    <xf numFmtId="0" fontId="92" fillId="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9" borderId="15" applyNumberFormat="0" applyAlignment="0" applyProtection="0"/>
    <xf numFmtId="0" fontId="92" fillId="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9" borderId="15" applyNumberFormat="0" applyAlignment="0" applyProtection="0"/>
    <xf numFmtId="0" fontId="92" fillId="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79" borderId="15" applyNumberFormat="0" applyAlignment="0" applyProtection="0"/>
    <xf numFmtId="0" fontId="92" fillId="9" borderId="15" applyNumberFormat="0" applyAlignment="0" applyProtection="0"/>
    <xf numFmtId="0" fontId="92" fillId="79" borderId="15" applyNumberFormat="0" applyAlignment="0" applyProtection="0"/>
    <xf numFmtId="0" fontId="92" fillId="79" borderId="15" applyNumberFormat="0" applyAlignment="0" applyProtection="0"/>
    <xf numFmtId="0" fontId="92" fillId="79" borderId="15" applyNumberFormat="0" applyAlignment="0" applyProtection="0"/>
    <xf numFmtId="0" fontId="92" fillId="79" borderId="15" applyNumberFormat="0" applyAlignment="0" applyProtection="0"/>
    <xf numFmtId="0" fontId="92" fillId="79" borderId="15" applyNumberFormat="0" applyAlignment="0" applyProtection="0"/>
    <xf numFmtId="0" fontId="92" fillId="79" borderId="15" applyNumberFormat="0" applyAlignment="0" applyProtection="0"/>
    <xf numFmtId="194" fontId="93" fillId="79" borderId="15"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66" fillId="0" borderId="9">
      <alignment horizontal="center"/>
    </xf>
    <xf numFmtId="37" fontId="66" fillId="0" borderId="0">
      <alignment horizontal="center" vertical="center" wrapText="1"/>
    </xf>
    <xf numFmtId="1" fontId="94" fillId="0" borderId="16">
      <alignment vertical="top"/>
    </xf>
    <xf numFmtId="178" fontId="95" fillId="0" borderId="0" applyBorder="0">
      <alignment horizontal="right"/>
    </xf>
    <xf numFmtId="178" fontId="95" fillId="0" borderId="17" applyAlignment="0">
      <alignment horizontal="right"/>
    </xf>
    <xf numFmtId="245" fontId="43" fillId="0" borderId="0"/>
    <xf numFmtId="245" fontId="43" fillId="0" borderId="0"/>
    <xf numFmtId="245" fontId="43" fillId="0" borderId="0"/>
    <xf numFmtId="245" fontId="43" fillId="0" borderId="0"/>
    <xf numFmtId="245" fontId="43" fillId="0" borderId="0"/>
    <xf numFmtId="245" fontId="43" fillId="0" borderId="0"/>
    <xf numFmtId="245" fontId="43" fillId="0" borderId="0"/>
    <xf numFmtId="245" fontId="43" fillId="0" borderId="0"/>
    <xf numFmtId="38" fontId="11" fillId="0" borderId="0" applyFont="0" applyFill="0" applyBorder="0" applyAlignment="0" applyProtection="0"/>
    <xf numFmtId="208" fontId="47" fillId="0" borderId="0" applyFont="0" applyFill="0" applyBorder="0" applyAlignment="0" applyProtection="0">
      <protection locked="0"/>
    </xf>
    <xf numFmtId="40" fontId="47" fillId="0" borderId="0" applyFont="0" applyFill="0" applyBorder="0" applyAlignment="0" applyProtection="0">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NumberFormat="0" applyFont="0" applyBorder="0" applyAlignment="0"/>
    <xf numFmtId="211" fontId="57" fillId="0" borderId="0"/>
    <xf numFmtId="246" fontId="59" fillId="0" borderId="0"/>
    <xf numFmtId="185" fontId="96" fillId="0" borderId="0" applyFont="0" applyFill="0" applyBorder="0" applyAlignment="0" applyProtection="0">
      <alignment horizontal="right"/>
    </xf>
    <xf numFmtId="247" fontId="96" fillId="0" borderId="0" applyFont="0" applyFill="0" applyBorder="0" applyAlignment="0" applyProtection="0"/>
    <xf numFmtId="185" fontId="96" fillId="0" borderId="0" applyFont="0" applyFill="0" applyBorder="0" applyAlignment="0" applyProtection="0">
      <alignment horizontal="right"/>
    </xf>
    <xf numFmtId="0"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79" fontId="14" fillId="0" borderId="0" applyFont="0" applyFill="0" applyBorder="0" applyAlignment="0" applyProtection="0"/>
    <xf numFmtId="197" fontId="14" fillId="0" borderId="0" applyFont="0" applyFill="0" applyBorder="0" applyAlignment="0" applyProtection="0"/>
    <xf numFmtId="179"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248"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178" fontId="14" fillId="0" borderId="0" applyFont="0" applyFill="0" applyBorder="0" applyAlignment="0" applyProtection="0"/>
    <xf numFmtId="19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30"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30"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5"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250" fontId="1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51" fontId="11" fillId="0" borderId="0" applyFont="0" applyFill="0" applyBorder="0" applyAlignment="0" applyProtection="0"/>
    <xf numFmtId="169" fontId="20" fillId="0" borderId="0" applyFont="0" applyFill="0" applyBorder="0" applyAlignment="0" applyProtection="0"/>
    <xf numFmtId="169"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52" fontId="11" fillId="0" borderId="0" applyFont="0" applyFill="0" applyBorder="0" applyAlignment="0" applyProtection="0"/>
    <xf numFmtId="38" fontId="43" fillId="0" borderId="0" applyFill="0" applyBorder="0" applyProtection="0">
      <alignment horizontal="center"/>
    </xf>
    <xf numFmtId="185" fontId="97" fillId="0" borderId="0">
      <protection locked="0"/>
    </xf>
    <xf numFmtId="253" fontId="11" fillId="0" borderId="0" applyBorder="0"/>
    <xf numFmtId="254" fontId="55" fillId="0" borderId="0" applyBorder="0"/>
    <xf numFmtId="255" fontId="11" fillId="0" borderId="0" applyFill="0" applyBorder="0">
      <alignment horizontal="left"/>
    </xf>
    <xf numFmtId="185" fontId="98" fillId="0" borderId="0" applyNumberFormat="0" applyAlignment="0">
      <alignment horizontal="left"/>
    </xf>
    <xf numFmtId="37" fontId="11" fillId="80" borderId="0" applyFont="0" applyBorder="0" applyAlignment="0" applyProtection="0"/>
    <xf numFmtId="197" fontId="52" fillId="80" borderId="0" applyFont="0" applyBorder="0" applyAlignment="0" applyProtection="0"/>
    <xf numFmtId="39" fontId="52" fillId="80" borderId="0" applyFont="0" applyBorder="0" applyAlignment="0" applyProtection="0"/>
    <xf numFmtId="256" fontId="99" fillId="0" borderId="0"/>
    <xf numFmtId="164" fontId="47" fillId="0" borderId="0" applyFont="0" applyFill="0" applyBorder="0" applyAlignment="0" applyProtection="0">
      <protection locked="0"/>
    </xf>
    <xf numFmtId="165" fontId="47" fillId="0" borderId="0" applyFont="0" applyFill="0" applyBorder="0" applyAlignment="0" applyProtection="0">
      <protection locked="0"/>
    </xf>
    <xf numFmtId="166" fontId="11" fillId="0" borderId="0">
      <alignment horizontal="right"/>
    </xf>
    <xf numFmtId="185" fontId="96" fillId="0" borderId="0" applyFont="0" applyFill="0" applyBorder="0" applyAlignment="0" applyProtection="0">
      <alignment horizontal="right"/>
    </xf>
    <xf numFmtId="257" fontId="30" fillId="0" borderId="0" applyFont="0" applyFill="0" applyBorder="0" applyAlignment="0" applyProtection="0"/>
    <xf numFmtId="258" fontId="11" fillId="0" borderId="0" applyFont="0" applyFill="0" applyBorder="0" applyAlignment="0" applyProtection="0"/>
    <xf numFmtId="185" fontId="96" fillId="0" borderId="0" applyFont="0" applyFill="0" applyBorder="0" applyAlignment="0" applyProtection="0">
      <alignment horizontal="right"/>
    </xf>
    <xf numFmtId="257" fontId="15" fillId="0" borderId="0" applyFont="0" applyFill="0" applyBorder="0" applyAlignment="0" applyProtection="0"/>
    <xf numFmtId="255" fontId="11" fillId="0" borderId="0" applyFont="0" applyFill="0" applyBorder="0" applyAlignment="0" applyProtection="0"/>
    <xf numFmtId="257" fontId="15" fillId="0" borderId="0" applyFont="0" applyFill="0" applyBorder="0" applyAlignment="0" applyProtection="0"/>
    <xf numFmtId="257" fontId="15" fillId="0" borderId="0" applyFont="0" applyFill="0" applyBorder="0" applyAlignment="0" applyProtection="0"/>
    <xf numFmtId="259" fontId="11" fillId="0" borderId="0" applyFont="0" applyFill="0" applyBorder="0" applyAlignment="0" applyProtection="0"/>
    <xf numFmtId="185" fontId="11" fillId="0" borderId="0" applyFont="0" applyFill="0" applyBorder="0" applyAlignment="0" applyProtection="0"/>
    <xf numFmtId="49" fontId="100" fillId="81" borderId="0" applyAlignment="0" applyProtection="0">
      <alignment vertical="center"/>
    </xf>
    <xf numFmtId="260" fontId="46" fillId="46" borderId="11">
      <alignment horizontal="right"/>
    </xf>
    <xf numFmtId="261" fontId="43" fillId="0" borderId="0" applyFont="0" applyFill="0" applyBorder="0" applyAlignment="0" applyProtection="0"/>
    <xf numFmtId="233" fontId="45" fillId="45" borderId="18">
      <protection locked="0"/>
    </xf>
    <xf numFmtId="234" fontId="45" fillId="45" borderId="18">
      <protection locked="0"/>
    </xf>
    <xf numFmtId="235" fontId="45" fillId="45" borderId="18">
      <protection locked="0"/>
    </xf>
    <xf numFmtId="233" fontId="45" fillId="45" borderId="18">
      <protection locked="0"/>
    </xf>
    <xf numFmtId="236" fontId="45" fillId="45" borderId="18">
      <protection locked="0"/>
    </xf>
    <xf numFmtId="237" fontId="45" fillId="45" borderId="18">
      <protection locked="0"/>
    </xf>
    <xf numFmtId="238" fontId="45" fillId="45" borderId="18">
      <protection locked="0"/>
    </xf>
    <xf numFmtId="236" fontId="45" fillId="45" borderId="18">
      <protection locked="0"/>
    </xf>
    <xf numFmtId="239" fontId="45" fillId="37" borderId="18">
      <alignment horizontal="right"/>
      <protection locked="0"/>
    </xf>
    <xf numFmtId="240" fontId="45" fillId="37" borderId="18">
      <alignment horizontal="right"/>
      <protection locked="0"/>
    </xf>
    <xf numFmtId="0" fontId="45" fillId="82" borderId="18">
      <alignment horizontal="left"/>
      <protection locked="0"/>
    </xf>
    <xf numFmtId="49" fontId="45" fillId="38" borderId="18">
      <alignment horizontal="left" vertical="top" wrapText="1"/>
      <protection locked="0"/>
    </xf>
    <xf numFmtId="241" fontId="45" fillId="45" borderId="18">
      <protection locked="0"/>
    </xf>
    <xf numFmtId="242" fontId="45" fillId="45" borderId="18">
      <protection locked="0"/>
    </xf>
    <xf numFmtId="243" fontId="45" fillId="45" borderId="18">
      <protection locked="0"/>
    </xf>
    <xf numFmtId="241" fontId="45" fillId="45" borderId="18">
      <protection locked="0"/>
    </xf>
    <xf numFmtId="49" fontId="45" fillId="38" borderId="18">
      <alignment horizontal="left"/>
      <protection locked="0"/>
    </xf>
    <xf numFmtId="262" fontId="45" fillId="45" borderId="18">
      <alignment horizontal="left" indent="1"/>
      <protection locked="0"/>
    </xf>
    <xf numFmtId="263" fontId="11" fillId="45" borderId="19"/>
    <xf numFmtId="263" fontId="11" fillId="45" borderId="19"/>
    <xf numFmtId="263" fontId="11" fillId="45" borderId="19"/>
    <xf numFmtId="263" fontId="11" fillId="45" borderId="19"/>
    <xf numFmtId="263" fontId="11" fillId="45" borderId="19"/>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264" fontId="11" fillId="0" borderId="0" applyFill="0" applyBorder="0"/>
    <xf numFmtId="185" fontId="96" fillId="0" borderId="0" applyFont="0" applyFill="0" applyBorder="0" applyAlignment="0" applyProtection="0"/>
    <xf numFmtId="265" fontId="11" fillId="0" borderId="0" applyFont="0" applyFill="0" applyBorder="0" applyAlignment="0" applyProtection="0"/>
    <xf numFmtId="185" fontId="96" fillId="0" borderId="0" applyFont="0" applyFill="0" applyBorder="0" applyAlignment="0" applyProtection="0"/>
    <xf numFmtId="185" fontId="95" fillId="50" borderId="0">
      <alignment horizontal="left"/>
    </xf>
    <xf numFmtId="264" fontId="11" fillId="0" borderId="0" applyFill="0" applyBorder="0"/>
    <xf numFmtId="14" fontId="11" fillId="0" borderId="0"/>
    <xf numFmtId="266" fontId="11" fillId="0" borderId="0" applyFont="0" applyFill="0" applyBorder="0" applyAlignment="0" applyProtection="0"/>
    <xf numFmtId="267" fontId="11" fillId="0" borderId="0" applyFont="0" applyFill="0" applyBorder="0" applyProtection="0">
      <alignment vertical="top"/>
    </xf>
    <xf numFmtId="267" fontId="11" fillId="0" borderId="0" applyFont="0" applyFill="0" applyBorder="0" applyProtection="0">
      <alignment vertical="top"/>
    </xf>
    <xf numFmtId="267" fontId="11" fillId="0" borderId="0" applyFont="0" applyFill="0" applyBorder="0" applyProtection="0">
      <alignment vertical="top"/>
    </xf>
    <xf numFmtId="268" fontId="11" fillId="0" borderId="0" applyFont="0" applyFill="0" applyBorder="0" applyAlignment="0" applyProtection="0"/>
    <xf numFmtId="267" fontId="11" fillId="0" borderId="0" applyFont="0" applyFill="0" applyBorder="0" applyProtection="0">
      <alignment vertical="top"/>
    </xf>
    <xf numFmtId="268" fontId="11" fillId="0" borderId="0" applyFont="0" applyFill="0" applyBorder="0" applyAlignment="0" applyProtection="0"/>
    <xf numFmtId="269" fontId="11" fillId="0" borderId="0" applyFont="0" applyFill="0" applyBorder="0" applyProtection="0">
      <alignment vertical="top"/>
    </xf>
    <xf numFmtId="269" fontId="11" fillId="0" borderId="0" applyFont="0" applyFill="0" applyBorder="0" applyProtection="0">
      <alignment vertical="top"/>
    </xf>
    <xf numFmtId="269" fontId="11" fillId="0" borderId="0" applyFont="0" applyFill="0" applyBorder="0" applyProtection="0">
      <alignment vertical="top"/>
    </xf>
    <xf numFmtId="269" fontId="11" fillId="0" borderId="0" applyFont="0" applyFill="0" applyBorder="0" applyProtection="0">
      <alignment vertical="top"/>
    </xf>
    <xf numFmtId="216" fontId="59" fillId="0" borderId="0">
      <alignment horizontal="right"/>
    </xf>
    <xf numFmtId="211" fontId="59" fillId="0" borderId="0">
      <alignment horizontal="right"/>
      <protection locked="0"/>
    </xf>
    <xf numFmtId="211" fontId="59" fillId="0" borderId="0"/>
    <xf numFmtId="270" fontId="59" fillId="0" borderId="0">
      <alignment horizontal="right"/>
      <protection locked="0"/>
    </xf>
    <xf numFmtId="211" fontId="60" fillId="0" borderId="0"/>
    <xf numFmtId="271" fontId="55" fillId="83" borderId="0" applyAlignment="0" applyProtection="0">
      <alignment horizontal="right"/>
    </xf>
    <xf numFmtId="272" fontId="11" fillId="0" borderId="0" applyFont="0" applyFill="0" applyBorder="0" applyAlignment="0" applyProtection="0"/>
    <xf numFmtId="171" fontId="11" fillId="0" borderId="0" applyFont="0" applyFill="0" applyBorder="0" applyAlignment="0" applyProtection="0"/>
    <xf numFmtId="208" fontId="67" fillId="46" borderId="0" applyNumberFormat="0" applyFont="0" applyBorder="0" applyAlignment="0" applyProtection="0"/>
    <xf numFmtId="165" fontId="43" fillId="0" borderId="0" applyFill="0" applyBorder="0" applyProtection="0">
      <alignment horizontal="center"/>
    </xf>
    <xf numFmtId="164" fontId="43" fillId="0" borderId="0">
      <alignment horizontal="center"/>
    </xf>
    <xf numFmtId="165" fontId="43" fillId="0" borderId="0" applyFill="0" applyBorder="0" applyProtection="0">
      <alignment horizontal="center"/>
    </xf>
    <xf numFmtId="255" fontId="101" fillId="0" borderId="0">
      <alignment horizontal="center"/>
    </xf>
    <xf numFmtId="185" fontId="96" fillId="0" borderId="20" applyNumberFormat="0" applyFont="0" applyFill="0" applyAlignment="0" applyProtection="0"/>
    <xf numFmtId="214" fontId="102" fillId="0" borderId="21"/>
    <xf numFmtId="215" fontId="59" fillId="0" borderId="0"/>
    <xf numFmtId="38" fontId="51" fillId="0" borderId="0" applyFont="0" applyFill="0" applyBorder="0" applyAlignment="0" applyProtection="0"/>
    <xf numFmtId="185" fontId="103" fillId="0" borderId="0" applyFont="0" applyFill="0" applyBorder="0" applyAlignment="0" applyProtection="0"/>
    <xf numFmtId="185" fontId="104" fillId="0" borderId="0" applyNumberFormat="0" applyAlignment="0">
      <alignment horizontal="left"/>
    </xf>
    <xf numFmtId="273" fontId="46" fillId="0" borderId="0"/>
    <xf numFmtId="274" fontId="46" fillId="0" borderId="0"/>
    <xf numFmtId="275" fontId="46" fillId="0" borderId="0"/>
    <xf numFmtId="276" fontId="46" fillId="0" borderId="0"/>
    <xf numFmtId="277" fontId="46" fillId="0" borderId="0"/>
    <xf numFmtId="278" fontId="46" fillId="0" borderId="0"/>
    <xf numFmtId="194" fontId="5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279" fontId="11" fillId="0" borderId="0" applyFont="0" applyFill="0" applyBorder="0" applyAlignment="0" applyProtection="0"/>
    <xf numFmtId="280" fontId="11" fillId="0" borderId="0" applyFont="0" applyFill="0" applyBorder="0" applyAlignment="0" applyProtection="0"/>
    <xf numFmtId="281" fontId="11" fillId="0" borderId="0" applyFont="0" applyFill="0" applyBorder="0" applyAlignment="0" applyProtection="0"/>
    <xf numFmtId="185" fontId="11"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94" fontId="107" fillId="0" borderId="0" applyNumberFormat="0" applyFill="0" applyBorder="0" applyAlignment="0" applyProtection="0"/>
    <xf numFmtId="0" fontId="43" fillId="79" borderId="0" applyNumberFormat="0" applyFont="0" applyBorder="0" applyAlignment="0" applyProtection="0"/>
    <xf numFmtId="0" fontId="43" fillId="79" borderId="0" applyNumberFormat="0" applyFont="0" applyBorder="0" applyAlignment="0" applyProtection="0"/>
    <xf numFmtId="0" fontId="108" fillId="0" borderId="0" applyNumberFormat="0" applyFill="0" applyBorder="0" applyAlignment="0" applyProtection="0"/>
    <xf numFmtId="282" fontId="109" fillId="0" borderId="0" applyFill="0" applyBorder="0"/>
    <xf numFmtId="15" fontId="20" fillId="0" borderId="0" applyFill="0" applyBorder="0" applyProtection="0">
      <alignment horizontal="center"/>
    </xf>
    <xf numFmtId="0" fontId="43" fillId="20" borderId="0" applyNumberFormat="0" applyFont="0" applyBorder="0" applyAlignment="0" applyProtection="0"/>
    <xf numFmtId="0" fontId="43" fillId="20" borderId="0" applyNumberFormat="0" applyFont="0" applyBorder="0" applyAlignment="0" applyProtection="0"/>
    <xf numFmtId="283" fontId="110" fillId="0" borderId="0" applyFill="0" applyBorder="0" applyProtection="0"/>
    <xf numFmtId="284" fontId="21" fillId="61" borderId="2" applyAlignment="0" applyProtection="0"/>
    <xf numFmtId="284" fontId="21" fillId="61" borderId="2" applyAlignment="0" applyProtection="0"/>
    <xf numFmtId="285" fontId="111" fillId="0" borderId="0" applyNumberFormat="0" applyFill="0" applyBorder="0" applyAlignment="0" applyProtection="0"/>
    <xf numFmtId="285" fontId="112" fillId="0" borderId="0" applyNumberFormat="0" applyFill="0" applyBorder="0" applyAlignment="0" applyProtection="0"/>
    <xf numFmtId="15" fontId="108" fillId="45" borderId="18">
      <alignment horizontal="center"/>
      <protection locked="0"/>
    </xf>
    <xf numFmtId="286" fontId="108" fillId="45" borderId="18" applyAlignment="0">
      <protection locked="0"/>
    </xf>
    <xf numFmtId="287" fontId="108" fillId="45" borderId="18" applyAlignment="0">
      <protection locked="0"/>
    </xf>
    <xf numFmtId="287" fontId="20" fillId="0" borderId="0" applyFill="0" applyBorder="0" applyAlignment="0" applyProtection="0"/>
    <xf numFmtId="288" fontId="20" fillId="0" borderId="0" applyFill="0" applyBorder="0" applyAlignment="0" applyProtection="0"/>
    <xf numFmtId="288" fontId="20" fillId="0" borderId="0" applyFill="0" applyBorder="0" applyAlignment="0" applyProtection="0"/>
    <xf numFmtId="289" fontId="20" fillId="0" borderId="0" applyFill="0" applyBorder="0" applyAlignment="0" applyProtection="0"/>
    <xf numFmtId="0" fontId="43" fillId="0" borderId="22" applyNumberFormat="0" applyFont="0" applyAlignment="0" applyProtection="0"/>
    <xf numFmtId="0" fontId="43" fillId="0" borderId="22" applyNumberFormat="0" applyFont="0" applyAlignment="0" applyProtection="0"/>
    <xf numFmtId="0" fontId="43" fillId="0" borderId="22" applyNumberFormat="0" applyFont="0" applyAlignment="0" applyProtection="0"/>
    <xf numFmtId="0" fontId="43" fillId="0" borderId="22" applyNumberFormat="0" applyFont="0" applyAlignment="0" applyProtection="0"/>
    <xf numFmtId="0" fontId="43" fillId="0" borderId="23" applyNumberFormat="0" applyFont="0" applyAlignment="0" applyProtection="0"/>
    <xf numFmtId="0" fontId="43" fillId="0" borderId="23" applyNumberFormat="0" applyFont="0" applyAlignment="0" applyProtection="0"/>
    <xf numFmtId="0" fontId="43" fillId="0" borderId="23" applyNumberFormat="0" applyFont="0" applyAlignment="0" applyProtection="0"/>
    <xf numFmtId="0" fontId="43" fillId="0" borderId="23" applyNumberFormat="0" applyFont="0" applyAlignment="0" applyProtection="0"/>
    <xf numFmtId="0" fontId="43" fillId="28" borderId="0" applyNumberFormat="0" applyFont="0" applyBorder="0" applyAlignment="0" applyProtection="0"/>
    <xf numFmtId="0" fontId="43" fillId="28" borderId="0" applyNumberFormat="0" applyFont="0" applyBorder="0" applyAlignment="0" applyProtection="0"/>
    <xf numFmtId="167" fontId="11" fillId="0" borderId="0" applyFont="0" applyFill="0" applyBorder="0" applyAlignment="0" applyProtection="0"/>
    <xf numFmtId="169" fontId="11" fillId="0" borderId="0" applyFont="0" applyFill="0" applyBorder="0" applyAlignment="0" applyProtection="0"/>
    <xf numFmtId="290" fontId="11" fillId="0" borderId="0" applyFont="0" applyFill="0" applyBorder="0" applyAlignment="0" applyProtection="0"/>
    <xf numFmtId="291" fontId="11" fillId="0" borderId="0" applyFont="0" applyFill="0" applyBorder="0" applyProtection="0">
      <alignment vertical="top"/>
    </xf>
    <xf numFmtId="291" fontId="11" fillId="0" borderId="0" applyFont="0" applyFill="0" applyBorder="0" applyProtection="0">
      <alignment vertical="top"/>
    </xf>
    <xf numFmtId="291" fontId="11" fillId="0" borderId="0" applyFont="0" applyFill="0" applyBorder="0" applyProtection="0">
      <alignment vertical="top"/>
    </xf>
    <xf numFmtId="291" fontId="11" fillId="0" borderId="0" applyFont="0" applyFill="0" applyBorder="0" applyProtection="0">
      <alignment vertical="top"/>
    </xf>
    <xf numFmtId="1" fontId="113" fillId="84" borderId="24" applyNumberFormat="0" applyBorder="0" applyAlignment="0">
      <alignment horizontal="centerContinuous" vertical="center"/>
      <protection locked="0"/>
    </xf>
    <xf numFmtId="185" fontId="97" fillId="0" borderId="0">
      <protection locked="0"/>
    </xf>
    <xf numFmtId="255" fontId="114" fillId="0" borderId="0"/>
    <xf numFmtId="255" fontId="114" fillId="0" borderId="0"/>
    <xf numFmtId="185" fontId="115" fillId="0" borderId="0"/>
    <xf numFmtId="185" fontId="116" fillId="0" borderId="0" applyFill="0" applyBorder="0" applyProtection="0">
      <alignment horizontal="left"/>
    </xf>
    <xf numFmtId="4" fontId="117" fillId="0" borderId="0">
      <protection locked="0"/>
    </xf>
    <xf numFmtId="0" fontId="100" fillId="19" borderId="0" applyAlignment="0" applyProtection="0">
      <alignment horizontal="right" vertical="center"/>
    </xf>
    <xf numFmtId="256" fontId="118" fillId="0" borderId="0"/>
    <xf numFmtId="274" fontId="46" fillId="0" borderId="25"/>
    <xf numFmtId="292" fontId="46" fillId="46" borderId="11">
      <alignment horizontal="right"/>
    </xf>
    <xf numFmtId="293" fontId="11" fillId="0" borderId="0" applyFont="0" applyFill="0" applyBorder="0" applyAlignment="0" applyProtection="0"/>
    <xf numFmtId="294" fontId="119" fillId="0" borderId="0" applyFont="0" applyFill="0" applyBorder="0" applyAlignment="0" applyProtection="0"/>
    <xf numFmtId="295" fontId="11" fillId="0" borderId="0" applyFont="0" applyFill="0" applyBorder="0" applyAlignment="0" applyProtection="0"/>
    <xf numFmtId="296" fontId="119"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85" borderId="0" applyNumberFormat="0" applyBorder="0" applyAlignment="0" applyProtection="0"/>
    <xf numFmtId="0" fontId="120" fillId="85"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85" borderId="0" applyNumberFormat="0" applyBorder="0" applyAlignment="0" applyProtection="0"/>
    <xf numFmtId="0" fontId="120" fillId="85"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120" fillId="85"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194" fontId="121" fillId="57" borderId="0" applyNumberFormat="0" applyBorder="0" applyAlignment="0" applyProtection="0"/>
    <xf numFmtId="2" fontId="122" fillId="50" borderId="11" applyProtection="0">
      <alignment horizontal="left"/>
      <protection locked="0"/>
    </xf>
    <xf numFmtId="38" fontId="55" fillId="46" borderId="0" applyNumberFormat="0" applyBorder="0" applyAlignment="0" applyProtection="0"/>
    <xf numFmtId="0" fontId="11" fillId="61" borderId="0" applyNumberFormat="0" applyFont="0" applyBorder="0" applyAlignment="0" applyProtection="0"/>
    <xf numFmtId="297" fontId="95" fillId="36" borderId="26" applyNumberFormat="0" applyFont="0" applyAlignment="0"/>
    <xf numFmtId="185" fontId="96" fillId="0" borderId="0" applyFont="0" applyFill="0" applyBorder="0" applyAlignment="0" applyProtection="0">
      <alignment horizontal="right"/>
    </xf>
    <xf numFmtId="185" fontId="123" fillId="0" borderId="0" applyProtection="0">
      <alignment horizontal="right"/>
    </xf>
    <xf numFmtId="185" fontId="80" fillId="0" borderId="27" applyNumberFormat="0" applyAlignment="0" applyProtection="0">
      <alignment horizontal="left" vertical="center"/>
    </xf>
    <xf numFmtId="185" fontId="80" fillId="0" borderId="28">
      <alignment horizontal="left" vertical="center"/>
    </xf>
    <xf numFmtId="2" fontId="76" fillId="76" borderId="0" applyAlignment="0">
      <alignment horizontal="right"/>
      <protection locked="0"/>
    </xf>
    <xf numFmtId="0" fontId="124" fillId="0" borderId="29"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4" fillId="0" borderId="29" applyNumberFormat="0" applyFill="0" applyAlignment="0" applyProtection="0"/>
    <xf numFmtId="0" fontId="124" fillId="0" borderId="29"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4" fillId="0" borderId="29" applyNumberFormat="0" applyFill="0" applyAlignment="0" applyProtection="0"/>
    <xf numFmtId="0" fontId="124" fillId="0" borderId="29"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0" fontId="124" fillId="0" borderId="29"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0" fontId="125" fillId="0" borderId="30" applyNumberFormat="0" applyFill="0" applyAlignment="0" applyProtection="0"/>
    <xf numFmtId="194" fontId="126" fillId="0" borderId="30"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7"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194" fontId="129" fillId="0" borderId="31"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0" fillId="0" borderId="13" applyNumberFormat="0" applyFill="0" applyAlignment="0" applyProtection="0"/>
    <xf numFmtId="0" fontId="130" fillId="0" borderId="13"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0" fillId="0" borderId="13" applyNumberFormat="0" applyFill="0" applyAlignment="0" applyProtection="0"/>
    <xf numFmtId="0" fontId="130" fillId="0" borderId="13"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0" fontId="130" fillId="0" borderId="13"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0" fontId="131" fillId="0" borderId="32" applyNumberFormat="0" applyFill="0" applyAlignment="0" applyProtection="0"/>
    <xf numFmtId="194" fontId="132" fillId="0" borderId="3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94" fontId="132" fillId="0" borderId="0" applyNumberFormat="0" applyFill="0" applyBorder="0" applyAlignment="0" applyProtection="0"/>
    <xf numFmtId="185" fontId="43" fillId="0" borderId="0">
      <protection locked="0"/>
    </xf>
    <xf numFmtId="185" fontId="43" fillId="0" borderId="0">
      <protection locked="0"/>
    </xf>
    <xf numFmtId="298" fontId="133" fillId="0" borderId="0">
      <alignment horizontal="right"/>
    </xf>
    <xf numFmtId="299" fontId="63" fillId="0" borderId="0" applyAlignment="0">
      <alignment horizontal="right"/>
      <protection hidden="1"/>
    </xf>
    <xf numFmtId="185" fontId="108" fillId="0" borderId="33" applyNumberFormat="0" applyFill="0" applyAlignment="0" applyProtection="0"/>
    <xf numFmtId="208" fontId="134" fillId="0" borderId="0" applyNumberFormat="0" applyBorder="0" applyAlignment="0" applyProtection="0">
      <alignment horizontal="right" wrapText="1"/>
    </xf>
    <xf numFmtId="0" fontId="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94"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94" fontId="142" fillId="0" borderId="0" applyNumberFormat="0" applyFill="0" applyBorder="0" applyAlignment="0" applyProtection="0">
      <alignment vertical="top"/>
      <protection locked="0"/>
    </xf>
    <xf numFmtId="185" fontId="143" fillId="0" borderId="0">
      <alignment wrapText="1"/>
    </xf>
    <xf numFmtId="10" fontId="55" fillId="36" borderId="26" applyNumberFormat="0" applyBorder="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4" fillId="14" borderId="34" applyNumberFormat="0" applyAlignment="0" applyProtection="0"/>
    <xf numFmtId="0" fontId="145" fillId="60"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4" fillId="14"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0" fontId="145" fillId="60" borderId="34" applyNumberFormat="0" applyAlignment="0" applyProtection="0"/>
    <xf numFmtId="194" fontId="146" fillId="60" borderId="34" applyNumberFormat="0" applyAlignment="0" applyProtection="0"/>
    <xf numFmtId="194" fontId="146" fillId="60" borderId="34" applyNumberFormat="0" applyAlignment="0" applyProtection="0"/>
    <xf numFmtId="0" fontId="55" fillId="0" borderId="0" applyNumberFormat="0" applyFill="0" applyBorder="0" applyAlignment="0">
      <protection locked="0"/>
    </xf>
    <xf numFmtId="0" fontId="147" fillId="34" borderId="0"/>
    <xf numFmtId="244" fontId="66" fillId="86" borderId="0">
      <protection locked="0"/>
    </xf>
    <xf numFmtId="300" fontId="43" fillId="0" borderId="0"/>
    <xf numFmtId="0" fontId="148" fillId="0" borderId="0"/>
    <xf numFmtId="38" fontId="149" fillId="0" borderId="0"/>
    <xf numFmtId="38" fontId="150" fillId="0" borderId="0"/>
    <xf numFmtId="38" fontId="151" fillId="0" borderId="0"/>
    <xf numFmtId="38" fontId="152" fillId="0" borderId="0"/>
    <xf numFmtId="0" fontId="69" fillId="0" borderId="0"/>
    <xf numFmtId="0" fontId="69" fillId="0" borderId="0"/>
    <xf numFmtId="0" fontId="69" fillId="0" borderId="0"/>
    <xf numFmtId="0" fontId="45" fillId="0" borderId="0"/>
    <xf numFmtId="0" fontId="153" fillId="0" borderId="0"/>
    <xf numFmtId="0" fontId="154" fillId="0" borderId="0">
      <alignment horizontal="center"/>
    </xf>
    <xf numFmtId="301" fontId="155" fillId="0" borderId="0" applyFont="0" applyFill="0" applyBorder="0" applyAlignment="0" applyProtection="0"/>
    <xf numFmtId="185" fontId="11" fillId="0" borderId="0" applyNumberFormat="0" applyFont="0" applyFill="0" applyBorder="0" applyProtection="0">
      <alignment horizontal="left" vertical="center"/>
    </xf>
    <xf numFmtId="173" fontId="38" fillId="2" borderId="0"/>
    <xf numFmtId="173" fontId="39" fillId="53" borderId="0"/>
    <xf numFmtId="185" fontId="55" fillId="46" borderId="0"/>
    <xf numFmtId="38" fontId="156" fillId="0" borderId="0" applyNumberFormat="0" applyFill="0" applyBorder="0" applyAlignment="0" applyProtection="0"/>
    <xf numFmtId="0" fontId="157" fillId="0" borderId="35"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7" fillId="0" borderId="35"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0" fontId="158" fillId="0" borderId="36" applyNumberFormat="0" applyFill="0" applyAlignment="0" applyProtection="0"/>
    <xf numFmtId="194" fontId="159" fillId="0" borderId="36" applyNumberFormat="0" applyFill="0" applyAlignment="0" applyProtection="0"/>
    <xf numFmtId="0" fontId="100" fillId="87" borderId="0" applyAlignment="0" applyProtection="0">
      <alignment horizontal="right" vertical="center"/>
    </xf>
    <xf numFmtId="201" fontId="56" fillId="0" borderId="0" applyFont="0" applyFill="0" applyBorder="0" applyAlignment="0" applyProtection="0">
      <alignment horizontal="right"/>
    </xf>
    <xf numFmtId="302"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303"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185" fontId="46" fillId="0" borderId="0">
      <alignment horizontal="right"/>
    </xf>
    <xf numFmtId="40" fontId="160" fillId="0" borderId="0">
      <alignment horizontal="right"/>
    </xf>
    <xf numFmtId="37" fontId="161" fillId="0" borderId="0"/>
    <xf numFmtId="185" fontId="162" fillId="0" borderId="0">
      <alignment vertical="center"/>
    </xf>
    <xf numFmtId="185" fontId="11" fillId="0" borderId="0" applyNumberFormat="0" applyFill="0" applyBorder="0" applyAlignment="0" applyProtection="0"/>
    <xf numFmtId="169"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304" fontId="11" fillId="0" borderId="0" applyFont="0" applyFill="0" applyBorder="0" applyAlignment="0" applyProtection="0"/>
    <xf numFmtId="305" fontId="46" fillId="0" borderId="0">
      <alignment horizontal="right"/>
    </xf>
    <xf numFmtId="185" fontId="163" fillId="0" borderId="17"/>
    <xf numFmtId="306" fontId="51" fillId="0" borderId="0" applyFont="0" applyFill="0" applyBorder="0" applyAlignment="0" applyProtection="0"/>
    <xf numFmtId="307" fontId="5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308" fontId="55" fillId="36" borderId="0">
      <alignment horizontal="center"/>
    </xf>
    <xf numFmtId="309" fontId="43" fillId="0" borderId="0" applyFill="0" applyBorder="0" applyProtection="0">
      <alignment horizontal="center"/>
    </xf>
    <xf numFmtId="310" fontId="43" fillId="0" borderId="0" applyFont="0" applyFill="0" applyBorder="0" applyAlignment="0" applyProtection="0">
      <alignment horizontal="centerContinuous"/>
      <protection locked="0"/>
    </xf>
    <xf numFmtId="49" fontId="164" fillId="81" borderId="0" applyAlignment="0" applyProtection="0">
      <alignment horizontal="centerContinuous" vertical="center"/>
    </xf>
    <xf numFmtId="311" fontId="55" fillId="0" borderId="0" applyFont="0" applyFill="0" applyBorder="0" applyAlignment="0" applyProtection="0">
      <alignment horizontal="right"/>
    </xf>
    <xf numFmtId="0" fontId="83" fillId="0" borderId="0">
      <alignment horizontal="right"/>
    </xf>
    <xf numFmtId="0" fontId="165" fillId="14"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4"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0" fontId="165" fillId="18" borderId="0" applyNumberFormat="0" applyBorder="0" applyAlignment="0" applyProtection="0"/>
    <xf numFmtId="194" fontId="166" fillId="18" borderId="0" applyNumberFormat="0" applyBorder="0" applyAlignment="0" applyProtection="0"/>
    <xf numFmtId="37" fontId="167" fillId="0" borderId="0"/>
    <xf numFmtId="298" fontId="168" fillId="0" borderId="0"/>
    <xf numFmtId="312" fontId="47" fillId="0" borderId="0"/>
    <xf numFmtId="312" fontId="47" fillId="0" borderId="9"/>
    <xf numFmtId="312" fontId="47" fillId="0" borderId="37"/>
    <xf numFmtId="312" fontId="47" fillId="0" borderId="0"/>
    <xf numFmtId="313" fontId="59" fillId="0" borderId="0"/>
    <xf numFmtId="314" fontId="59" fillId="0" borderId="0"/>
    <xf numFmtId="315" fontId="59" fillId="0" borderId="0"/>
    <xf numFmtId="316" fontId="55" fillId="0" borderId="0"/>
    <xf numFmtId="317" fontId="55" fillId="0" borderId="0"/>
    <xf numFmtId="38" fontId="11" fillId="0" borderId="0" applyFont="0" applyFill="0" applyBorder="0" applyAlignment="0" applyProtection="0"/>
    <xf numFmtId="0" fontId="9" fillId="0" borderId="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26" fillId="0" borderId="0"/>
    <xf numFmtId="0" fontId="26" fillId="0" borderId="0"/>
    <xf numFmtId="0" fontId="26" fillId="0" borderId="0"/>
    <xf numFmtId="0" fontId="26" fillId="0" borderId="0"/>
    <xf numFmtId="0" fontId="30"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26" fillId="0" borderId="0"/>
    <xf numFmtId="0" fontId="26" fillId="0" borderId="0"/>
    <xf numFmtId="0" fontId="26" fillId="0" borderId="0"/>
    <xf numFmtId="0" fontId="26" fillId="0" borderId="0"/>
    <xf numFmtId="0" fontId="30"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6" fillId="0" borderId="0"/>
    <xf numFmtId="0" fontId="26" fillId="0" borderId="0"/>
    <xf numFmtId="0" fontId="26" fillId="0" borderId="0"/>
    <xf numFmtId="0" fontId="26" fillId="0" borderId="0"/>
    <xf numFmtId="0" fontId="30"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6" fillId="0" borderId="0"/>
    <xf numFmtId="0" fontId="26" fillId="0" borderId="0"/>
    <xf numFmtId="0" fontId="26" fillId="0" borderId="0"/>
    <xf numFmtId="0" fontId="26" fillId="0" borderId="0"/>
    <xf numFmtId="0" fontId="30"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26" fillId="0" borderId="0"/>
    <xf numFmtId="0" fontId="26" fillId="0" borderId="0"/>
    <xf numFmtId="0" fontId="26" fillId="0" borderId="0"/>
    <xf numFmtId="0" fontId="26" fillId="0" borderId="0"/>
    <xf numFmtId="0" fontId="30"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9"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4" fillId="0" borderId="0"/>
    <xf numFmtId="0" fontId="15" fillId="0" borderId="0"/>
    <xf numFmtId="19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xf numFmtId="18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applyFont="0" applyFill="0" applyBorder="0" applyAlignment="0" applyProtection="0"/>
    <xf numFmtId="0" fontId="15" fillId="0" borderId="0" applyFill="0" applyBorder="0" applyAlignment="0" applyProtection="0"/>
    <xf numFmtId="0" fontId="14" fillId="0" borderId="0" applyFont="0" applyFill="0" applyBorder="0" applyAlignment="0" applyProtection="0"/>
    <xf numFmtId="18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26"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14" fillId="0" borderId="0"/>
    <xf numFmtId="0" fontId="14" fillId="0" borderId="0"/>
    <xf numFmtId="0" fontId="14" fillId="0" borderId="0"/>
    <xf numFmtId="0" fontId="14" fillId="0" borderId="0"/>
    <xf numFmtId="0" fontId="14" fillId="0" borderId="0"/>
    <xf numFmtId="185"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1" fillId="0" borderId="0"/>
    <xf numFmtId="0" fontId="14" fillId="0" borderId="0" applyFont="0" applyFill="0" applyBorder="0" applyAlignment="0" applyProtection="0"/>
    <xf numFmtId="0" fontId="14" fillId="0" borderId="0" applyFont="0" applyFill="0" applyBorder="0" applyAlignment="0" applyProtection="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11" fillId="0" borderId="0"/>
    <xf numFmtId="0" fontId="14" fillId="0" borderId="0" applyFont="0" applyFill="0" applyBorder="0" applyAlignment="0" applyProtection="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applyFont="0" applyFill="0" applyBorder="0" applyAlignment="0" applyProtection="0"/>
    <xf numFmtId="0" fontId="11" fillId="0" borderId="0"/>
    <xf numFmtId="0" fontId="11" fillId="0" borderId="0"/>
    <xf numFmtId="0" fontId="14" fillId="0" borderId="0" applyFont="0" applyFill="0" applyBorder="0" applyAlignment="0" applyProtection="0"/>
    <xf numFmtId="0" fontId="11" fillId="0" borderId="0"/>
    <xf numFmtId="0" fontId="14" fillId="0" borderId="0"/>
    <xf numFmtId="0" fontId="11" fillId="0" borderId="0"/>
    <xf numFmtId="0" fontId="14" fillId="0" borderId="0" applyFont="0" applyFill="0" applyBorder="0" applyAlignment="0" applyProtection="0"/>
    <xf numFmtId="0" fontId="11" fillId="0" borderId="0"/>
    <xf numFmtId="0" fontId="11" fillId="0" borderId="0"/>
    <xf numFmtId="0" fontId="14" fillId="0" borderId="0" applyFont="0" applyFill="0" applyBorder="0" applyAlignment="0" applyProtection="0"/>
    <xf numFmtId="0" fontId="11" fillId="0" borderId="0"/>
    <xf numFmtId="0" fontId="14" fillId="0" borderId="0"/>
    <xf numFmtId="0" fontId="14" fillId="0" borderId="0"/>
    <xf numFmtId="0" fontId="14"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1" fillId="0" borderId="0" applyNumberFormat="0" applyFont="0" applyFill="0" applyBorder="0" applyAlignment="0" applyProtection="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1" fillId="0" borderId="0" applyNumberFormat="0" applyFont="0" applyFill="0" applyBorder="0" applyAlignment="0" applyProtection="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1" fillId="0" borderId="0" applyNumberFormat="0" applyFont="0" applyFill="0" applyBorder="0" applyAlignment="0" applyProtection="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11" fillId="0" borderId="0" applyNumberFormat="0" applyFont="0" applyFill="0" applyBorder="0" applyAlignment="0" applyProtection="0"/>
    <xf numFmtId="0" fontId="26" fillId="0" borderId="0"/>
    <xf numFmtId="0" fontId="26" fillId="0" borderId="0"/>
    <xf numFmtId="0" fontId="26" fillId="0" borderId="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6" fillId="0" borderId="0"/>
    <xf numFmtId="0" fontId="26" fillId="0" borderId="0"/>
    <xf numFmtId="0" fontId="26"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94"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9" fillId="0" borderId="0"/>
    <xf numFmtId="0" fontId="12" fillId="0" borderId="0"/>
    <xf numFmtId="194" fontId="12"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applyNumberFormat="0" applyFont="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applyBorder="0" applyAlignment="0" applyProtection="0"/>
    <xf numFmtId="0" fontId="15" fillId="0" borderId="0"/>
    <xf numFmtId="0" fontId="15" fillId="0" borderId="0"/>
    <xf numFmtId="0" fontId="15" fillId="0" borderId="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4" fillId="0" borderId="0"/>
    <xf numFmtId="0" fontId="8" fillId="0" borderId="0"/>
    <xf numFmtId="0" fontId="11" fillId="0" borderId="0"/>
    <xf numFmtId="185" fontId="1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69" fillId="0" borderId="0"/>
    <xf numFmtId="0" fontId="169" fillId="0" borderId="0"/>
    <xf numFmtId="0" fontId="169" fillId="0" borderId="0"/>
    <xf numFmtId="0" fontId="1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194"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9" fillId="0" borderId="0"/>
    <xf numFmtId="179" fontId="26" fillId="0" borderId="0"/>
    <xf numFmtId="179" fontId="26" fillId="0" borderId="0"/>
    <xf numFmtId="179" fontId="26" fillId="0" borderId="0"/>
    <xf numFmtId="179" fontId="26" fillId="0" borderId="0"/>
    <xf numFmtId="179" fontId="26" fillId="0" borderId="0"/>
    <xf numFmtId="179" fontId="9" fillId="0" borderId="0"/>
    <xf numFmtId="179" fontId="26" fillId="0" borderId="0"/>
    <xf numFmtId="179" fontId="26" fillId="0" borderId="0"/>
    <xf numFmtId="179" fontId="26" fillId="0" borderId="0"/>
    <xf numFmtId="179" fontId="26" fillId="0" borderId="0"/>
    <xf numFmtId="179" fontId="9" fillId="0" borderId="0"/>
    <xf numFmtId="179" fontId="9" fillId="0" borderId="0"/>
    <xf numFmtId="179" fontId="9" fillId="0" borderId="0"/>
    <xf numFmtId="179" fontId="9" fillId="0" borderId="0"/>
    <xf numFmtId="179" fontId="26" fillId="0" borderId="0"/>
    <xf numFmtId="179" fontId="26" fillId="0" borderId="0"/>
    <xf numFmtId="179" fontId="26" fillId="0" borderId="0"/>
    <xf numFmtId="179" fontId="26" fillId="0" borderId="0"/>
    <xf numFmtId="179" fontId="9" fillId="0" borderId="0"/>
    <xf numFmtId="179" fontId="9" fillId="0" borderId="0"/>
    <xf numFmtId="179" fontId="9" fillId="0" borderId="0"/>
    <xf numFmtId="179" fontId="9" fillId="0" borderId="0"/>
    <xf numFmtId="179" fontId="26" fillId="0" borderId="0"/>
    <xf numFmtId="179" fontId="26" fillId="0" borderId="0"/>
    <xf numFmtId="179" fontId="26"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4" fontId="9" fillId="0" borderId="0"/>
    <xf numFmtId="0" fontId="30" fillId="0" borderId="0" applyFill="0" applyBorder="0" applyAlignment="0" applyProtection="0"/>
    <xf numFmtId="0" fontId="30"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11" fillId="0" borderId="0"/>
    <xf numFmtId="0" fontId="3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20" fillId="0" borderId="0"/>
    <xf numFmtId="0" fontId="11" fillId="0" borderId="0" applyNumberFormat="0" applyFont="0" applyFill="0" applyBorder="0" applyAlignment="0" applyProtection="0"/>
    <xf numFmtId="0" fontId="20" fillId="0" borderId="0"/>
    <xf numFmtId="0" fontId="20" fillId="0" borderId="0"/>
    <xf numFmtId="0" fontId="20" fillId="0" borderId="0"/>
    <xf numFmtId="0" fontId="8" fillId="0" borderId="0"/>
    <xf numFmtId="0" fontId="30" fillId="0" borderId="0"/>
    <xf numFmtId="0" fontId="30" fillId="0" borderId="0"/>
    <xf numFmtId="0" fontId="11" fillId="0" borderId="0" applyNumberFormat="0" applyFont="0" applyFill="0" applyBorder="0" applyAlignment="0" applyProtection="0"/>
    <xf numFmtId="0" fontId="30"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1" fillId="0" borderId="0" applyNumberFormat="0" applyFont="0" applyFill="0" applyBorder="0" applyAlignment="0" applyProtection="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27" fillId="0" borderId="0">
      <alignment vertical="top"/>
    </xf>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top"/>
    </xf>
    <xf numFmtId="318" fontId="57" fillId="0" borderId="37"/>
    <xf numFmtId="0" fontId="108" fillId="0" borderId="0" applyFill="0" applyBorder="0">
      <protection locked="0"/>
    </xf>
    <xf numFmtId="185" fontId="11" fillId="0" borderId="0"/>
    <xf numFmtId="185" fontId="170" fillId="0" borderId="0"/>
    <xf numFmtId="185" fontId="171" fillId="0" borderId="0"/>
    <xf numFmtId="185" fontId="172" fillId="0" borderId="0"/>
    <xf numFmtId="185" fontId="173" fillId="0" borderId="0"/>
    <xf numFmtId="185" fontId="52" fillId="0" borderId="0"/>
    <xf numFmtId="38" fontId="174" fillId="0" borderId="0"/>
    <xf numFmtId="0" fontId="11" fillId="13"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3"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4" fillId="3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34"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34" borderId="38" applyNumberFormat="0" applyFont="0" applyAlignment="0" applyProtection="0"/>
    <xf numFmtId="0" fontId="14" fillId="34" borderId="38" applyNumberFormat="0" applyFont="0" applyAlignment="0" applyProtection="0"/>
    <xf numFmtId="0" fontId="11" fillId="13"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3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0" borderId="0" applyNumberFormat="0" applyFont="0" applyFill="0" applyBorder="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0" borderId="0" applyNumberFormat="0" applyFont="0" applyFill="0" applyBorder="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0" borderId="0" applyNumberFormat="0" applyFont="0" applyFill="0" applyBorder="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13" borderId="38" applyNumberFormat="0" applyFont="0" applyAlignment="0" applyProtection="0"/>
    <xf numFmtId="0" fontId="11"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0" fontId="14" fillId="34" borderId="38" applyNumberFormat="0" applyFont="0" applyAlignment="0" applyProtection="0"/>
    <xf numFmtId="194" fontId="11" fillId="34" borderId="38" applyNumberFormat="0" applyFont="0" applyAlignment="0" applyProtection="0"/>
    <xf numFmtId="194" fontId="11" fillId="34" borderId="38" applyNumberFormat="0" applyFont="0" applyAlignment="0" applyProtection="0"/>
    <xf numFmtId="0" fontId="175" fillId="83" borderId="0" applyAlignment="0" applyProtection="0">
      <alignment horizontal="left" vertical="top" wrapText="1"/>
    </xf>
    <xf numFmtId="285" fontId="11" fillId="45" borderId="39" applyFont="0" applyFill="0" applyBorder="0" applyAlignment="0" applyProtection="0">
      <protection locked="0"/>
    </xf>
    <xf numFmtId="37" fontId="11" fillId="0" borderId="0"/>
    <xf numFmtId="319" fontId="42" fillId="50" borderId="40" applyNumberFormat="0">
      <alignment vertical="center"/>
    </xf>
    <xf numFmtId="319" fontId="42" fillId="88" borderId="40" applyNumberFormat="0">
      <alignment vertical="center"/>
    </xf>
    <xf numFmtId="319" fontId="42" fillId="40" borderId="40" applyNumberFormat="0">
      <alignment vertical="center"/>
    </xf>
    <xf numFmtId="319" fontId="42" fillId="38" borderId="40" applyNumberFormat="0">
      <alignment vertical="center"/>
    </xf>
    <xf numFmtId="319" fontId="42" fillId="89" borderId="40" applyNumberFormat="0">
      <alignment vertical="center"/>
    </xf>
    <xf numFmtId="319" fontId="42" fillId="46" borderId="40" applyNumberFormat="0">
      <alignment vertical="center"/>
    </xf>
    <xf numFmtId="319" fontId="42" fillId="90" borderId="40" applyNumberFormat="0">
      <alignment vertical="center"/>
    </xf>
    <xf numFmtId="319" fontId="42" fillId="80" borderId="40" applyNumberFormat="0">
      <alignment vertical="center"/>
    </xf>
    <xf numFmtId="319" fontId="42" fillId="91" borderId="40" applyNumberFormat="0">
      <alignment vertical="center"/>
    </xf>
    <xf numFmtId="319" fontId="42" fillId="92" borderId="40" applyNumberFormat="0">
      <alignment vertical="center"/>
    </xf>
    <xf numFmtId="319" fontId="176" fillId="45" borderId="40">
      <protection locked="0"/>
    </xf>
    <xf numFmtId="319" fontId="176" fillId="37" borderId="40">
      <protection locked="0"/>
    </xf>
    <xf numFmtId="319" fontId="177" fillId="37" borderId="41" applyNumberFormat="0" applyFont="0" applyFill="0" applyAlignment="0" applyProtection="0">
      <protection locked="0"/>
    </xf>
    <xf numFmtId="319" fontId="83" fillId="0" borderId="0" applyNumberFormat="0" applyFill="0">
      <alignment horizontal="left" vertical="top"/>
    </xf>
    <xf numFmtId="0" fontId="178" fillId="93" borderId="0" applyNumberFormat="0">
      <alignment horizontal="left" vertical="center" indent="1"/>
    </xf>
    <xf numFmtId="0" fontId="179" fillId="94" borderId="0" applyNumberFormat="0">
      <alignment vertical="center"/>
    </xf>
    <xf numFmtId="0" fontId="80" fillId="46" borderId="0">
      <alignment vertical="center"/>
    </xf>
    <xf numFmtId="0" fontId="180" fillId="0" borderId="42">
      <alignment vertical="center"/>
    </xf>
    <xf numFmtId="0" fontId="41" fillId="95" borderId="26" applyNumberFormat="0" applyFont="0" applyAlignment="0">
      <alignment vertical="center"/>
    </xf>
    <xf numFmtId="0" fontId="41" fillId="45" borderId="26" applyNumberFormat="0" applyFont="0" applyAlignment="0">
      <alignment vertical="center"/>
    </xf>
    <xf numFmtId="0" fontId="41" fillId="37" borderId="26" applyNumberFormat="0" applyFont="0" applyAlignment="0">
      <alignment vertical="center"/>
    </xf>
    <xf numFmtId="0" fontId="41" fillId="96" borderId="26" applyNumberFormat="0" applyFont="0" applyAlignment="0">
      <alignment vertical="center"/>
    </xf>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97" borderId="0">
      <alignment horizontal="right"/>
    </xf>
    <xf numFmtId="0" fontId="181" fillId="0" borderId="0">
      <alignment horizontal="left"/>
    </xf>
    <xf numFmtId="3" fontId="182" fillId="0" borderId="0" applyFill="0" applyBorder="0" applyAlignment="0" applyProtection="0"/>
    <xf numFmtId="185" fontId="183" fillId="12" borderId="43" applyNumberFormat="0" applyBorder="0" applyAlignment="0">
      <alignment horizontal="center"/>
      <protection hidden="1"/>
    </xf>
    <xf numFmtId="185" fontId="184" fillId="0" borderId="43" applyNumberFormat="0" applyBorder="0" applyAlignment="0">
      <alignment horizontal="center"/>
      <protection locked="0"/>
    </xf>
    <xf numFmtId="2" fontId="185" fillId="50" borderId="11">
      <alignment horizontal="left"/>
    </xf>
    <xf numFmtId="0" fontId="186" fillId="78" borderId="4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1" fillId="0" borderId="0" applyNumberFormat="0" applyFont="0" applyFill="0" applyBorder="0" applyAlignment="0" applyProtection="0"/>
    <xf numFmtId="0" fontId="186" fillId="61"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86" fillId="78" borderId="44" applyNumberFormat="0" applyAlignment="0" applyProtection="0"/>
    <xf numFmtId="0" fontId="11" fillId="0" borderId="0" applyNumberFormat="0" applyFont="0" applyFill="0" applyBorder="0" applyAlignment="0" applyProtection="0"/>
    <xf numFmtId="0" fontId="186" fillId="78"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78" borderId="44" applyNumberFormat="0" applyAlignment="0" applyProtection="0"/>
    <xf numFmtId="0" fontId="186" fillId="61" borderId="44" applyNumberFormat="0" applyAlignment="0" applyProtection="0"/>
    <xf numFmtId="0" fontId="11" fillId="0" borderId="0" applyNumberFormat="0" applyFont="0" applyFill="0" applyBorder="0" applyAlignment="0" applyProtection="0"/>
    <xf numFmtId="0" fontId="186" fillId="61" borderId="44" applyNumberFormat="0" applyAlignment="0" applyProtection="0"/>
    <xf numFmtId="0" fontId="11" fillId="0" borderId="0" applyNumberFormat="0" applyFont="0" applyFill="0" applyBorder="0" applyAlignment="0" applyProtection="0"/>
    <xf numFmtId="0" fontId="186" fillId="78" borderId="4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0" fontId="186" fillId="61" borderId="44" applyNumberFormat="0" applyAlignment="0" applyProtection="0"/>
    <xf numFmtId="194" fontId="187" fillId="61" borderId="44" applyNumberFormat="0" applyAlignment="0" applyProtection="0"/>
    <xf numFmtId="194" fontId="187" fillId="61" borderId="44" applyNumberFormat="0" applyAlignment="0" applyProtection="0"/>
    <xf numFmtId="40" fontId="20" fillId="33" borderId="0">
      <alignment horizontal="right"/>
    </xf>
    <xf numFmtId="185" fontId="188" fillId="98" borderId="0">
      <alignment horizontal="center"/>
    </xf>
    <xf numFmtId="185" fontId="189" fillId="99" borderId="0"/>
    <xf numFmtId="185" fontId="190" fillId="33" borderId="0" applyBorder="0">
      <alignment horizontal="centerContinuous"/>
    </xf>
    <xf numFmtId="185" fontId="191" fillId="99" borderId="0" applyBorder="0">
      <alignment horizontal="centerContinuous"/>
    </xf>
    <xf numFmtId="320" fontId="11" fillId="0" borderId="0"/>
    <xf numFmtId="320" fontId="11" fillId="0" borderId="0"/>
    <xf numFmtId="320" fontId="11" fillId="0" borderId="0"/>
    <xf numFmtId="320" fontId="11" fillId="0" borderId="0"/>
    <xf numFmtId="176" fontId="11" fillId="0" borderId="0"/>
    <xf numFmtId="176" fontId="11" fillId="0" borderId="0"/>
    <xf numFmtId="176" fontId="11" fillId="0" borderId="0"/>
    <xf numFmtId="176" fontId="11" fillId="0" borderId="0"/>
    <xf numFmtId="176" fontId="11" fillId="0" borderId="0"/>
    <xf numFmtId="320" fontId="11" fillId="0" borderId="0"/>
    <xf numFmtId="185" fontId="43" fillId="100" borderId="0" applyNumberFormat="0" applyFont="0" applyBorder="0" applyAlignment="0"/>
    <xf numFmtId="1" fontId="192" fillId="0" borderId="0" applyProtection="0">
      <alignment horizontal="right" vertical="center"/>
    </xf>
    <xf numFmtId="197" fontId="193" fillId="0" borderId="0">
      <alignment horizontal="left"/>
    </xf>
    <xf numFmtId="321" fontId="46" fillId="0" borderId="0"/>
    <xf numFmtId="322" fontId="46" fillId="0" borderId="0"/>
    <xf numFmtId="166" fontId="11" fillId="0" borderId="0" applyFont="0" applyFill="0" applyBorder="0" applyAlignment="0" applyProtection="0"/>
    <xf numFmtId="168" fontId="11" fillId="0" borderId="0" applyFont="0" applyFill="0" applyBorder="0" applyAlignment="0" applyProtection="0"/>
    <xf numFmtId="175" fontId="47" fillId="0" borderId="0" applyFont="0" applyFill="0" applyBorder="0" applyAlignment="0" applyProtection="0">
      <protection locked="0"/>
    </xf>
    <xf numFmtId="10" fontId="47" fillId="0" borderId="0" applyFont="0" applyFill="0" applyBorder="0" applyAlignment="0" applyProtection="0">
      <protection locked="0"/>
    </xf>
    <xf numFmtId="10" fontId="11"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4"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5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24" fontId="66" fillId="80" borderId="0" applyBorder="0" applyAlignment="0">
      <protection locked="0"/>
    </xf>
    <xf numFmtId="9" fontId="59" fillId="0" borderId="0"/>
    <xf numFmtId="175" fontId="59" fillId="0" borderId="0"/>
    <xf numFmtId="10" fontId="59" fillId="0" borderId="0"/>
    <xf numFmtId="325" fontId="11" fillId="0" borderId="0" applyFont="0" applyFill="0" applyBorder="0" applyAlignment="0" applyProtection="0"/>
    <xf numFmtId="326" fontId="57" fillId="0" borderId="0"/>
    <xf numFmtId="327" fontId="57" fillId="0" borderId="0"/>
    <xf numFmtId="327" fontId="59" fillId="0" borderId="0"/>
    <xf numFmtId="328" fontId="11" fillId="0" borderId="0" applyBorder="0">
      <alignment horizontal="right"/>
    </xf>
    <xf numFmtId="329" fontId="55" fillId="0" borderId="0" applyBorder="0"/>
    <xf numFmtId="10" fontId="11" fillId="50" borderId="0"/>
    <xf numFmtId="185" fontId="11" fillId="0" borderId="0">
      <protection locked="0"/>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330" fontId="9" fillId="101" borderId="6">
      <alignment vertical="center"/>
    </xf>
    <xf numFmtId="0"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9" fillId="101"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101" borderId="6">
      <alignment vertical="center"/>
    </xf>
    <xf numFmtId="172" fontId="9" fillId="101" borderId="6">
      <alignment vertical="center"/>
    </xf>
    <xf numFmtId="172" fontId="26" fillId="101" borderId="6">
      <alignment vertical="center"/>
    </xf>
    <xf numFmtId="172" fontId="9" fillId="101" borderId="6">
      <alignment vertical="center"/>
    </xf>
    <xf numFmtId="172" fontId="26" fillId="101" borderId="6">
      <alignment vertical="center"/>
    </xf>
    <xf numFmtId="172" fontId="9"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101" borderId="6">
      <alignment vertical="center"/>
    </xf>
    <xf numFmtId="172" fontId="9" fillId="101" borderId="6">
      <alignment vertical="center"/>
    </xf>
    <xf numFmtId="172" fontId="26" fillId="101" borderId="6">
      <alignment vertical="center"/>
    </xf>
    <xf numFmtId="172" fontId="9" fillId="101" borderId="6">
      <alignment vertical="center"/>
    </xf>
    <xf numFmtId="172" fontId="26" fillId="101" borderId="6">
      <alignment vertical="center"/>
    </xf>
    <xf numFmtId="172" fontId="9"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26" fillId="90" borderId="6">
      <alignment vertical="center"/>
    </xf>
    <xf numFmtId="172" fontId="9" fillId="101"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26" fillId="101" borderId="6">
      <alignment vertical="center"/>
    </xf>
    <xf numFmtId="172" fontId="9" fillId="101" borderId="6">
      <alignment vertical="center"/>
    </xf>
    <xf numFmtId="0" fontId="26" fillId="101" borderId="6">
      <alignment vertical="center"/>
    </xf>
    <xf numFmtId="172" fontId="9" fillId="101" borderId="6">
      <alignment vertical="center"/>
    </xf>
    <xf numFmtId="0" fontId="26" fillId="101" borderId="6">
      <alignment vertical="center"/>
    </xf>
    <xf numFmtId="172" fontId="9" fillId="101" borderId="6">
      <alignment vertical="center"/>
    </xf>
    <xf numFmtId="0" fontId="26" fillId="101" borderId="6">
      <alignment vertical="center"/>
    </xf>
    <xf numFmtId="172"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176" fontId="9" fillId="101" borderId="6">
      <alignment vertical="center"/>
    </xf>
    <xf numFmtId="172"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0" fontId="11" fillId="32" borderId="3" applyNumberFormat="0" applyProtection="0">
      <alignment horizontal="left" vertical="center" indent="1"/>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26" fillId="90"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11" fillId="0" borderId="0" applyNumberFormat="0" applyFont="0" applyFill="0" applyBorder="0" applyAlignment="0" applyProtection="0"/>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101" borderId="6">
      <alignment vertical="center"/>
    </xf>
    <xf numFmtId="176" fontId="9" fillId="101" borderId="6">
      <alignment vertical="center"/>
    </xf>
    <xf numFmtId="176" fontId="26" fillId="101" borderId="6">
      <alignment vertical="center"/>
    </xf>
    <xf numFmtId="176" fontId="9" fillId="101" borderId="6">
      <alignment vertical="center"/>
    </xf>
    <xf numFmtId="176" fontId="26" fillId="101" borderId="6">
      <alignment vertical="center"/>
    </xf>
    <xf numFmtId="176" fontId="9"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2" fontId="26" fillId="90"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6" fontId="26" fillId="101" borderId="6">
      <alignment vertical="center"/>
    </xf>
    <xf numFmtId="172" fontId="9" fillId="101" borderId="6">
      <alignment vertical="center"/>
    </xf>
    <xf numFmtId="176" fontId="26" fillId="101" borderId="6">
      <alignment vertical="center"/>
    </xf>
    <xf numFmtId="172" fontId="9" fillId="101" borderId="6">
      <alignment vertical="center"/>
    </xf>
    <xf numFmtId="176" fontId="26" fillId="101" borderId="6">
      <alignment vertical="center"/>
    </xf>
    <xf numFmtId="172" fontId="9" fillId="101" borderId="6">
      <alignment vertical="center"/>
    </xf>
    <xf numFmtId="176" fontId="26" fillId="101" borderId="6">
      <alignment vertical="center"/>
    </xf>
    <xf numFmtId="172"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6"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6" fontId="26" fillId="90" borderId="6">
      <alignment vertical="center"/>
    </xf>
    <xf numFmtId="172" fontId="9" fillId="101" borderId="6">
      <alignment vertical="center"/>
    </xf>
    <xf numFmtId="176" fontId="26" fillId="90" borderId="6">
      <alignment vertical="center"/>
    </xf>
    <xf numFmtId="172" fontId="9" fillId="101" borderId="6">
      <alignment vertical="center"/>
    </xf>
    <xf numFmtId="172"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26" fillId="90"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26" fillId="90"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11" fillId="0" borderId="0" applyNumberFormat="0" applyFont="0" applyFill="0" applyBorder="0" applyAlignment="0" applyProtection="0"/>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26" fillId="90"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101" borderId="6">
      <alignment vertical="center"/>
    </xf>
    <xf numFmtId="331" fontId="9" fillId="101" borderId="6">
      <alignment vertical="center"/>
    </xf>
    <xf numFmtId="176" fontId="26" fillId="101" borderId="6">
      <alignment vertical="center"/>
    </xf>
    <xf numFmtId="331" fontId="9" fillId="101" borderId="6">
      <alignment vertical="center"/>
    </xf>
    <xf numFmtId="176" fontId="26" fillId="101" borderId="6">
      <alignment vertical="center"/>
    </xf>
    <xf numFmtId="331" fontId="9" fillId="101" borderId="6">
      <alignment vertical="center"/>
    </xf>
    <xf numFmtId="176" fontId="26" fillId="101" borderId="6">
      <alignment vertical="center"/>
    </xf>
    <xf numFmtId="331"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331"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331"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101" borderId="6">
      <alignment vertical="center"/>
    </xf>
    <xf numFmtId="331" fontId="26"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101" borderId="6">
      <alignment vertical="center"/>
    </xf>
    <xf numFmtId="331" fontId="26"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0" fontId="11" fillId="0" borderId="0" applyNumberFormat="0" applyFont="0" applyFill="0" applyBorder="0" applyAlignment="0" applyProtection="0"/>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0" fontId="11" fillId="0" borderId="0" applyNumberFormat="0" applyFont="0" applyFill="0" applyBorder="0" applyAlignment="0" applyProtection="0"/>
    <xf numFmtId="331" fontId="9" fillId="101" borderId="6">
      <alignment vertical="center"/>
    </xf>
    <xf numFmtId="331"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331" fontId="9" fillId="101" borderId="6">
      <alignment vertical="center"/>
    </xf>
    <xf numFmtId="331" fontId="9" fillId="101" borderId="6">
      <alignment vertical="center"/>
    </xf>
    <xf numFmtId="0" fontId="11" fillId="0" borderId="0" applyNumberFormat="0" applyFont="0" applyFill="0" applyBorder="0" applyAlignment="0" applyProtection="0"/>
    <xf numFmtId="331" fontId="9" fillId="101" borderId="6">
      <alignment vertical="center"/>
    </xf>
    <xf numFmtId="331"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331"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331" fontId="9" fillId="101" borderId="6">
      <alignment vertical="center"/>
    </xf>
    <xf numFmtId="331"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331" fontId="9" fillId="101" borderId="6">
      <alignment vertical="center"/>
    </xf>
    <xf numFmtId="331"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26" fillId="90" borderId="6">
      <alignment vertical="center"/>
    </xf>
    <xf numFmtId="331" fontId="26" fillId="90" borderId="6">
      <alignment vertical="center"/>
    </xf>
    <xf numFmtId="331" fontId="26" fillId="90" borderId="6">
      <alignment vertical="center"/>
    </xf>
    <xf numFmtId="331" fontId="26" fillId="90" borderId="6">
      <alignment vertical="center"/>
    </xf>
    <xf numFmtId="176" fontId="26" fillId="90" borderId="6">
      <alignment vertical="center"/>
    </xf>
    <xf numFmtId="331" fontId="26" fillId="90" borderId="6">
      <alignment vertical="center"/>
    </xf>
    <xf numFmtId="331" fontId="9" fillId="101" borderId="6">
      <alignment vertical="center"/>
    </xf>
    <xf numFmtId="331" fontId="9" fillId="101" borderId="6">
      <alignment vertical="center"/>
    </xf>
    <xf numFmtId="331" fontId="9" fillId="101" borderId="6">
      <alignment vertical="center"/>
    </xf>
    <xf numFmtId="331" fontId="9" fillId="101" borderId="6">
      <alignment vertical="center"/>
    </xf>
    <xf numFmtId="331" fontId="26" fillId="90" borderId="6">
      <alignment vertical="center"/>
    </xf>
    <xf numFmtId="176" fontId="26" fillId="90" borderId="6">
      <alignment vertical="center"/>
    </xf>
    <xf numFmtId="331" fontId="9" fillId="101" borderId="6">
      <alignment vertical="center"/>
    </xf>
    <xf numFmtId="176" fontId="26" fillId="90" borderId="6">
      <alignment vertical="center"/>
    </xf>
    <xf numFmtId="331" fontId="9" fillId="101" borderId="6">
      <alignment vertical="center"/>
    </xf>
    <xf numFmtId="176"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26" fillId="90"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11" fillId="0" borderId="0" applyNumberFormat="0" applyFont="0" applyFill="0" applyBorder="0" applyAlignment="0" applyProtection="0"/>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26" fillId="90"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101" borderId="6">
      <alignment vertical="center"/>
    </xf>
    <xf numFmtId="176" fontId="9" fillId="101" borderId="6">
      <alignment vertical="center"/>
    </xf>
    <xf numFmtId="0" fontId="26" fillId="101" borderId="6">
      <alignment vertical="center"/>
    </xf>
    <xf numFmtId="176" fontId="9" fillId="101" borderId="6">
      <alignment vertical="center"/>
    </xf>
    <xf numFmtId="0" fontId="26" fillId="101" borderId="6">
      <alignment vertical="center"/>
    </xf>
    <xf numFmtId="176" fontId="9" fillId="101" borderId="6">
      <alignment vertical="center"/>
    </xf>
    <xf numFmtId="0" fontId="26" fillId="101" borderId="6">
      <alignment vertical="center"/>
    </xf>
    <xf numFmtId="176" fontId="9" fillId="101" borderId="6">
      <alignment vertical="center"/>
    </xf>
    <xf numFmtId="0" fontId="9" fillId="101" borderId="6">
      <alignment vertical="center"/>
    </xf>
    <xf numFmtId="0" fontId="9" fillId="101" borderId="6">
      <alignment vertical="center"/>
    </xf>
    <xf numFmtId="0"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101" borderId="6">
      <alignment vertical="center"/>
    </xf>
    <xf numFmtId="176"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101" borderId="6">
      <alignment vertical="center"/>
    </xf>
    <xf numFmtId="176" fontId="26"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6" fontId="9" fillId="101" borderId="6">
      <alignment vertical="center"/>
    </xf>
    <xf numFmtId="176"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26" fillId="90" borderId="6">
      <alignment vertical="center"/>
    </xf>
    <xf numFmtId="0" fontId="26" fillId="90" borderId="6">
      <alignment vertical="center"/>
    </xf>
    <xf numFmtId="0" fontId="26" fillId="90" borderId="6">
      <alignment vertical="center"/>
    </xf>
    <xf numFmtId="0"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9" fillId="101" borderId="6">
      <alignment vertical="center"/>
    </xf>
    <xf numFmtId="0"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176" fontId="26" fillId="90" borderId="6">
      <alignment vertical="center"/>
    </xf>
    <xf numFmtId="176" fontId="26" fillId="90" borderId="6">
      <alignment vertical="center"/>
    </xf>
    <xf numFmtId="176" fontId="26" fillId="90" borderId="6">
      <alignment vertical="center"/>
    </xf>
    <xf numFmtId="0" fontId="26" fillId="90" borderId="6">
      <alignment vertical="center"/>
    </xf>
    <xf numFmtId="176" fontId="26" fillId="90" borderId="6">
      <alignment vertical="center"/>
    </xf>
    <xf numFmtId="176" fontId="9" fillId="101" borderId="6">
      <alignment vertical="center"/>
    </xf>
    <xf numFmtId="176" fontId="9" fillId="101" borderId="6">
      <alignment vertical="center"/>
    </xf>
    <xf numFmtId="176" fontId="9" fillId="101" borderId="6">
      <alignment vertical="center"/>
    </xf>
    <xf numFmtId="176" fontId="9" fillId="101" borderId="6">
      <alignment vertical="center"/>
    </xf>
    <xf numFmtId="176" fontId="26" fillId="90" borderId="6">
      <alignment vertical="center"/>
    </xf>
    <xf numFmtId="0" fontId="26" fillId="90" borderId="6">
      <alignment vertical="center"/>
    </xf>
    <xf numFmtId="176" fontId="9" fillId="101" borderId="6">
      <alignment vertical="center"/>
    </xf>
    <xf numFmtId="0" fontId="26" fillId="90" borderId="6">
      <alignment vertical="center"/>
    </xf>
    <xf numFmtId="176" fontId="9" fillId="101" borderId="6">
      <alignment vertical="center"/>
    </xf>
    <xf numFmtId="0" fontId="26" fillId="90"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101" borderId="6">
      <alignment vertical="center"/>
    </xf>
    <xf numFmtId="172"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101" borderId="6">
      <alignment vertical="center"/>
    </xf>
    <xf numFmtId="172" fontId="26"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101" borderId="6">
      <alignment vertical="center"/>
    </xf>
    <xf numFmtId="0" fontId="26"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9" fillId="101" borderId="6">
      <alignment vertical="center"/>
    </xf>
    <xf numFmtId="172" fontId="26" fillId="90" borderId="6">
      <alignment vertical="center"/>
    </xf>
    <xf numFmtId="172" fontId="26" fillId="90" borderId="6">
      <alignment vertical="center"/>
    </xf>
    <xf numFmtId="172" fontId="26" fillId="90" borderId="6">
      <alignment vertical="center"/>
    </xf>
    <xf numFmtId="172" fontId="26" fillId="90" borderId="6">
      <alignment vertical="center"/>
    </xf>
    <xf numFmtId="0" fontId="26" fillId="101" borderId="6">
      <alignment vertical="center"/>
    </xf>
    <xf numFmtId="0" fontId="26"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9" fillId="101" borderId="6">
      <alignment vertical="center"/>
    </xf>
    <xf numFmtId="0" fontId="11" fillId="0" borderId="0" applyNumberFormat="0" applyFont="0" applyFill="0" applyBorder="0" applyAlignment="0" applyProtection="0"/>
    <xf numFmtId="172" fontId="9" fillId="101" borderId="6">
      <alignment vertical="center"/>
    </xf>
    <xf numFmtId="172" fontId="9" fillId="101" borderId="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90" borderId="6">
      <alignment vertical="center"/>
    </xf>
    <xf numFmtId="332" fontId="46" fillId="0" borderId="0">
      <alignment horizontal="right"/>
    </xf>
    <xf numFmtId="40" fontId="11" fillId="0" borderId="0"/>
    <xf numFmtId="1" fontId="194" fillId="46" borderId="0">
      <alignment horizontal="center"/>
    </xf>
    <xf numFmtId="185"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185" fontId="195" fillId="0" borderId="17">
      <alignment horizontal="center"/>
    </xf>
    <xf numFmtId="3" fontId="51" fillId="0" borderId="0" applyFont="0" applyFill="0" applyBorder="0" applyAlignment="0" applyProtection="0"/>
    <xf numFmtId="185" fontId="51" fillId="102" borderId="0" applyNumberFormat="0" applyFont="0" applyBorder="0" applyAlignment="0" applyProtection="0"/>
    <xf numFmtId="333" fontId="46" fillId="46" borderId="0"/>
    <xf numFmtId="334" fontId="22" fillId="46" borderId="0" applyFill="0"/>
    <xf numFmtId="185" fontId="196" fillId="0" borderId="0">
      <alignment horizontal="left" indent="7"/>
    </xf>
    <xf numFmtId="185" fontId="22" fillId="0" borderId="0" applyFill="0">
      <alignment horizontal="left" indent="7"/>
    </xf>
    <xf numFmtId="334" fontId="66" fillId="0" borderId="28">
      <alignment horizontal="right"/>
    </xf>
    <xf numFmtId="185" fontId="66" fillId="0" borderId="26" applyNumberFormat="0" applyFont="0" applyBorder="0">
      <alignment horizontal="right"/>
    </xf>
    <xf numFmtId="185" fontId="197" fillId="0" borderId="0" applyFill="0"/>
    <xf numFmtId="185" fontId="66" fillId="0" borderId="0" applyFill="0"/>
    <xf numFmtId="334" fontId="19" fillId="0" borderId="28" applyFill="0"/>
    <xf numFmtId="185" fontId="11" fillId="0" borderId="0" applyNumberFormat="0" applyFont="0" applyBorder="0" applyAlignment="0"/>
    <xf numFmtId="185" fontId="198" fillId="0" borderId="0" applyFill="0">
      <alignment horizontal="left" indent="1"/>
    </xf>
    <xf numFmtId="185" fontId="19" fillId="0" borderId="0">
      <alignment horizontal="left" indent="1"/>
    </xf>
    <xf numFmtId="334" fontId="66" fillId="0" borderId="28" applyFill="0"/>
    <xf numFmtId="185" fontId="11" fillId="0" borderId="0" applyNumberFormat="0" applyFont="0" applyFill="0" applyBorder="0" applyAlignment="0"/>
    <xf numFmtId="185" fontId="197" fillId="0" borderId="0" applyFill="0">
      <alignment horizontal="left" indent="2"/>
    </xf>
    <xf numFmtId="185" fontId="66" fillId="0" borderId="0" applyFill="0">
      <alignment horizontal="left" indent="2"/>
    </xf>
    <xf numFmtId="334" fontId="19" fillId="0" borderId="28" applyFill="0"/>
    <xf numFmtId="185" fontId="11" fillId="0" borderId="0" applyNumberFormat="0" applyFont="0" applyBorder="0" applyAlignment="0"/>
    <xf numFmtId="185" fontId="198" fillId="0" borderId="0">
      <alignment horizontal="left" indent="3"/>
    </xf>
    <xf numFmtId="185" fontId="19" fillId="0" borderId="0" applyFill="0">
      <alignment horizontal="left" indent="3"/>
    </xf>
    <xf numFmtId="334" fontId="66" fillId="0" borderId="28" applyFill="0"/>
    <xf numFmtId="185" fontId="11" fillId="0" borderId="0" applyNumberFormat="0" applyFont="0" applyBorder="0" applyAlignment="0"/>
    <xf numFmtId="185" fontId="197" fillId="0" borderId="0">
      <alignment horizontal="left" indent="4"/>
    </xf>
    <xf numFmtId="185" fontId="66" fillId="0" borderId="0" applyFill="0">
      <alignment horizontal="left" indent="4"/>
    </xf>
    <xf numFmtId="334" fontId="19" fillId="0" borderId="28" applyFill="0"/>
    <xf numFmtId="185" fontId="11" fillId="0" borderId="0" applyNumberFormat="0" applyFont="0" applyBorder="0" applyAlignment="0"/>
    <xf numFmtId="185" fontId="198" fillId="0" borderId="0">
      <alignment horizontal="left" indent="5"/>
    </xf>
    <xf numFmtId="185" fontId="19" fillId="0" borderId="0" applyFill="0">
      <alignment horizontal="left" indent="5"/>
    </xf>
    <xf numFmtId="334" fontId="66" fillId="0" borderId="28" applyFill="0"/>
    <xf numFmtId="185" fontId="11" fillId="0" borderId="0" applyNumberFormat="0" applyFont="0" applyFill="0" applyBorder="0" applyAlignment="0"/>
    <xf numFmtId="185" fontId="66" fillId="0" borderId="0" applyFill="0">
      <alignment horizontal="left" indent="6"/>
    </xf>
    <xf numFmtId="335" fontId="46" fillId="46" borderId="11">
      <alignment horizontal="right"/>
    </xf>
    <xf numFmtId="0" fontId="199" fillId="0" borderId="0"/>
    <xf numFmtId="14" fontId="200" fillId="0" borderId="0" applyNumberFormat="0" applyFill="0" applyBorder="0" applyAlignment="0" applyProtection="0">
      <alignment horizontal="left"/>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9"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9"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9"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26" fillId="0" borderId="0">
      <protection locked="0"/>
    </xf>
    <xf numFmtId="336" fontId="26"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336" fontId="9" fillId="0" borderId="0">
      <protection locked="0"/>
    </xf>
    <xf numFmtId="336" fontId="26" fillId="0" borderId="0">
      <protection locked="0"/>
    </xf>
    <xf numFmtId="336" fontId="9" fillId="0" borderId="0">
      <protection locked="0"/>
    </xf>
    <xf numFmtId="336" fontId="9" fillId="0" borderId="0">
      <protection locked="0"/>
    </xf>
    <xf numFmtId="336" fontId="9" fillId="0" borderId="0">
      <protection locked="0"/>
    </xf>
    <xf numFmtId="336" fontId="26" fillId="0" borderId="0">
      <protection locked="0"/>
    </xf>
    <xf numFmtId="336" fontId="26" fillId="0" borderId="0">
      <protection locked="0"/>
    </xf>
    <xf numFmtId="336" fontId="26" fillId="0" borderId="0">
      <protection locked="0"/>
    </xf>
    <xf numFmtId="336" fontId="26" fillId="0" borderId="0">
      <protection locked="0"/>
    </xf>
    <xf numFmtId="172" fontId="9" fillId="3"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337"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6"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 borderId="26">
      <alignment vertical="center"/>
      <protection locked="0"/>
    </xf>
    <xf numFmtId="0" fontId="26"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9" fillId="3" borderId="26">
      <alignment vertical="center"/>
      <protection locked="0"/>
    </xf>
    <xf numFmtId="0"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9" fillId="3" borderId="26">
      <alignment vertical="center"/>
      <protection locked="0"/>
    </xf>
    <xf numFmtId="0" fontId="26" fillId="36"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0" fontId="9" fillId="3" borderId="26">
      <alignment vertical="center"/>
      <protection locked="0"/>
    </xf>
    <xf numFmtId="0"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9" fillId="3" borderId="26">
      <alignment vertical="center"/>
      <protection locked="0"/>
    </xf>
    <xf numFmtId="337" fontId="26" fillId="36"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6" borderId="26">
      <alignment vertical="center"/>
      <protection locked="0"/>
    </xf>
    <xf numFmtId="172" fontId="26" fillId="3"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 borderId="26">
      <alignment vertical="center"/>
      <protection locked="0"/>
    </xf>
    <xf numFmtId="176" fontId="9" fillId="3" borderId="26">
      <alignment vertical="center"/>
      <protection locked="0"/>
    </xf>
    <xf numFmtId="172" fontId="26" fillId="3" borderId="26">
      <alignment vertical="center"/>
      <protection locked="0"/>
    </xf>
    <xf numFmtId="176" fontId="9" fillId="3" borderId="26">
      <alignment vertical="center"/>
      <protection locked="0"/>
    </xf>
    <xf numFmtId="172" fontId="26" fillId="3" borderId="26">
      <alignment vertical="center"/>
      <protection locked="0"/>
    </xf>
    <xf numFmtId="176" fontId="9" fillId="3" borderId="26">
      <alignment vertical="center"/>
      <protection locked="0"/>
    </xf>
    <xf numFmtId="172" fontId="26" fillId="3" borderId="26">
      <alignment vertical="center"/>
      <protection locked="0"/>
    </xf>
    <xf numFmtId="176"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 borderId="26">
      <alignment vertical="center"/>
      <protection locked="0"/>
    </xf>
    <xf numFmtId="176" fontId="26"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 borderId="26">
      <alignment vertical="center"/>
      <protection locked="0"/>
    </xf>
    <xf numFmtId="176" fontId="26"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2"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6" fontId="9" fillId="3" borderId="26">
      <alignment vertical="center"/>
      <protection locked="0"/>
    </xf>
    <xf numFmtId="172" fontId="26" fillId="36"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26" fillId="3" borderId="26">
      <alignment vertical="center"/>
      <protection locked="0"/>
    </xf>
    <xf numFmtId="337"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172"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337" fontId="9" fillId="3"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2"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 borderId="26">
      <alignment vertical="center"/>
      <protection locked="0"/>
    </xf>
    <xf numFmtId="175" fontId="26"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175" fontId="9" fillId="3" borderId="26">
      <alignment vertical="center"/>
      <protection locked="0"/>
    </xf>
    <xf numFmtId="175"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9" fillId="3" borderId="26">
      <alignment vertical="center"/>
      <protection locked="0"/>
    </xf>
    <xf numFmtId="175" fontId="26" fillId="36"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5" fontId="9" fillId="3" borderId="26">
      <alignment vertical="center"/>
      <protection locked="0"/>
    </xf>
    <xf numFmtId="175"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 borderId="26">
      <alignment vertical="center"/>
      <protection locked="0"/>
    </xf>
    <xf numFmtId="172" fontId="9" fillId="3" borderId="26">
      <alignment vertical="center"/>
      <protection locked="0"/>
    </xf>
    <xf numFmtId="172" fontId="26" fillId="3" borderId="26">
      <alignment vertical="center"/>
      <protection locked="0"/>
    </xf>
    <xf numFmtId="172" fontId="9" fillId="3" borderId="26">
      <alignment vertical="center"/>
      <protection locked="0"/>
    </xf>
    <xf numFmtId="172" fontId="26" fillId="3" borderId="26">
      <alignment vertical="center"/>
      <protection locked="0"/>
    </xf>
    <xf numFmtId="172" fontId="9"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9" fillId="3" borderId="26">
      <alignment vertical="center"/>
      <protection locked="0"/>
    </xf>
    <xf numFmtId="172"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6"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 borderId="26">
      <alignment vertical="center"/>
      <protection locked="0"/>
    </xf>
    <xf numFmtId="176" fontId="26"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 borderId="26">
      <alignment vertical="center"/>
      <protection locked="0"/>
    </xf>
    <xf numFmtId="176" fontId="26"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6"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26" fillId="36"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9" fillId="3" borderId="26">
      <alignment vertical="center"/>
      <protection locked="0"/>
    </xf>
    <xf numFmtId="176" fontId="26" fillId="36"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0" fontId="11" fillId="0" borderId="0" applyNumberFormat="0" applyFont="0" applyFill="0" applyBorder="0" applyAlignment="0" applyProtection="0"/>
    <xf numFmtId="176" fontId="9" fillId="3" borderId="26">
      <alignment vertical="center"/>
      <protection locked="0"/>
    </xf>
    <xf numFmtId="176" fontId="26" fillId="36" borderId="26">
      <alignment vertical="center"/>
      <protection locked="0"/>
    </xf>
    <xf numFmtId="172" fontId="26" fillId="36"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 borderId="26">
      <alignment vertical="center"/>
      <protection locked="0"/>
    </xf>
    <xf numFmtId="337" fontId="26"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 borderId="26">
      <alignment vertical="center"/>
      <protection locked="0"/>
    </xf>
    <xf numFmtId="172" fontId="26" fillId="3" borderId="26">
      <alignment vertical="center"/>
      <protection locked="0"/>
    </xf>
    <xf numFmtId="172" fontId="26"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9" fillId="3"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337" fontId="26" fillId="36"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172"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337" fontId="9" fillId="3" borderId="26">
      <alignment vertical="center"/>
      <protection locked="0"/>
    </xf>
    <xf numFmtId="337" fontId="9" fillId="3" borderId="26">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6" borderId="26">
      <alignment vertical="center"/>
      <protection locked="0"/>
    </xf>
    <xf numFmtId="172" fontId="26" fillId="36" borderId="26">
      <alignment vertical="center"/>
      <protection locked="0"/>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9" fillId="43"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4" fontId="26" fillId="38"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172"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38" borderId="26">
      <alignment vertical="center"/>
    </xf>
    <xf numFmtId="337" fontId="9" fillId="43" borderId="26">
      <alignment vertical="center"/>
    </xf>
    <xf numFmtId="172" fontId="26"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9" fillId="43" borderId="26">
      <alignment vertical="center"/>
    </xf>
    <xf numFmtId="337" fontId="26" fillId="38" borderId="26">
      <alignment vertical="center"/>
    </xf>
    <xf numFmtId="337" fontId="9" fillId="43" borderId="26">
      <alignment vertical="center"/>
    </xf>
    <xf numFmtId="337" fontId="26" fillId="38" borderId="26">
      <alignment vertical="center"/>
    </xf>
    <xf numFmtId="172" fontId="26" fillId="43" borderId="26">
      <alignment vertical="center"/>
    </xf>
    <xf numFmtId="337" fontId="9" fillId="43" borderId="26">
      <alignment vertical="center"/>
    </xf>
    <xf numFmtId="172" fontId="26" fillId="43" borderId="26">
      <alignment vertical="center"/>
    </xf>
    <xf numFmtId="337" fontId="9" fillId="43" borderId="26">
      <alignment vertical="center"/>
    </xf>
    <xf numFmtId="172" fontId="26" fillId="43" borderId="26">
      <alignment vertical="center"/>
    </xf>
    <xf numFmtId="337"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38" borderId="26">
      <alignment vertical="center"/>
    </xf>
    <xf numFmtId="331"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43" borderId="26">
      <alignment vertical="center"/>
    </xf>
    <xf numFmtId="331" fontId="26" fillId="43"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43" borderId="26">
      <alignment vertical="center"/>
    </xf>
    <xf numFmtId="331" fontId="26"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38" borderId="26">
      <alignment vertical="center"/>
    </xf>
    <xf numFmtId="0" fontId="11" fillId="0" borderId="0" applyNumberFormat="0" applyFont="0" applyFill="0" applyBorder="0" applyAlignment="0" applyProtection="0"/>
    <xf numFmtId="331" fontId="9" fillId="43" borderId="26">
      <alignment vertical="center"/>
    </xf>
    <xf numFmtId="331" fontId="26" fillId="38" borderId="26">
      <alignment vertical="center"/>
    </xf>
    <xf numFmtId="331" fontId="9" fillId="43" borderId="26">
      <alignment vertical="center"/>
    </xf>
    <xf numFmtId="331" fontId="26" fillId="38" borderId="26">
      <alignment vertical="center"/>
    </xf>
    <xf numFmtId="331" fontId="9" fillId="43" borderId="26">
      <alignment vertical="center"/>
    </xf>
    <xf numFmtId="331" fontId="26" fillId="38" borderId="26">
      <alignment vertical="center"/>
    </xf>
    <xf numFmtId="331" fontId="9" fillId="43" borderId="26">
      <alignment vertical="center"/>
    </xf>
    <xf numFmtId="331" fontId="26" fillId="38" borderId="26">
      <alignment vertical="center"/>
    </xf>
    <xf numFmtId="331" fontId="9" fillId="43" borderId="26">
      <alignment vertical="center"/>
    </xf>
    <xf numFmtId="331" fontId="26" fillId="38"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38" borderId="26">
      <alignment vertical="center"/>
    </xf>
    <xf numFmtId="331" fontId="26" fillId="38"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331" fontId="26" fillId="38" borderId="26">
      <alignment vertical="center"/>
    </xf>
    <xf numFmtId="0" fontId="11" fillId="0" borderId="0" applyNumberFormat="0" applyFont="0" applyFill="0" applyBorder="0" applyAlignment="0" applyProtection="0"/>
    <xf numFmtId="331" fontId="9" fillId="43" borderId="26">
      <alignment vertical="center"/>
    </xf>
    <xf numFmtId="331"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331" fontId="26" fillId="38" borderId="26">
      <alignment vertical="center"/>
    </xf>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26" fillId="38" borderId="26">
      <alignment vertical="center"/>
    </xf>
    <xf numFmtId="331" fontId="26" fillId="38" borderId="26">
      <alignment vertical="center"/>
    </xf>
    <xf numFmtId="331" fontId="26" fillId="38" borderId="26">
      <alignment vertical="center"/>
    </xf>
    <xf numFmtId="331" fontId="26" fillId="38" borderId="26">
      <alignment vertical="center"/>
    </xf>
    <xf numFmtId="0" fontId="11" fillId="0" borderId="0" applyNumberFormat="0" applyFont="0" applyFill="0" applyBorder="0" applyAlignment="0" applyProtection="0"/>
    <xf numFmtId="331" fontId="26" fillId="38" borderId="26">
      <alignment vertical="center"/>
    </xf>
    <xf numFmtId="331" fontId="9" fillId="43" borderId="26">
      <alignment vertical="center"/>
    </xf>
    <xf numFmtId="331" fontId="9" fillId="43" borderId="26">
      <alignment vertical="center"/>
    </xf>
    <xf numFmtId="331" fontId="9" fillId="43" borderId="26">
      <alignment vertical="center"/>
    </xf>
    <xf numFmtId="331" fontId="9" fillId="43" borderId="26">
      <alignment vertical="center"/>
    </xf>
    <xf numFmtId="331" fontId="26" fillId="38"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0" fontId="11" fillId="0" borderId="0" applyNumberFormat="0" applyFont="0" applyFill="0" applyBorder="0" applyAlignment="0" applyProtection="0"/>
    <xf numFmtId="331" fontId="9" fillId="43" borderId="26">
      <alignment vertical="center"/>
    </xf>
    <xf numFmtId="331" fontId="26" fillId="38"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38" borderId="26">
      <alignment vertical="center"/>
    </xf>
    <xf numFmtId="337" fontId="9" fillId="43" borderId="26">
      <alignment vertical="center"/>
    </xf>
    <xf numFmtId="176" fontId="26" fillId="43" borderId="26">
      <alignment vertical="center"/>
    </xf>
    <xf numFmtId="337" fontId="9" fillId="43" borderId="26">
      <alignment vertical="center"/>
    </xf>
    <xf numFmtId="176" fontId="26" fillId="43" borderId="26">
      <alignment vertical="center"/>
    </xf>
    <xf numFmtId="337" fontId="9" fillId="43" borderId="26">
      <alignment vertical="center"/>
    </xf>
    <xf numFmtId="176" fontId="26" fillId="43" borderId="26">
      <alignment vertical="center"/>
    </xf>
    <xf numFmtId="337" fontId="9" fillId="43" borderId="26">
      <alignment vertical="center"/>
    </xf>
    <xf numFmtId="176" fontId="26" fillId="43" borderId="26">
      <alignment vertical="center"/>
    </xf>
    <xf numFmtId="337"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176" fontId="26"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43" borderId="26">
      <alignment vertical="center"/>
    </xf>
    <xf numFmtId="176" fontId="26"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0" fontId="11" fillId="0" borderId="0" applyNumberFormat="0" applyFont="0" applyFill="0" applyBorder="0" applyAlignment="0" applyProtection="0"/>
    <xf numFmtId="176" fontId="9" fillId="43" borderId="26">
      <alignment vertical="center"/>
    </xf>
    <xf numFmtId="176" fontId="26" fillId="38" borderId="26">
      <alignment vertical="center"/>
    </xf>
    <xf numFmtId="176" fontId="9" fillId="43" borderId="26">
      <alignment vertical="center"/>
    </xf>
    <xf numFmtId="176" fontId="26" fillId="38" borderId="26">
      <alignment vertical="center"/>
    </xf>
    <xf numFmtId="176" fontId="9" fillId="43" borderId="26">
      <alignment vertical="center"/>
    </xf>
    <xf numFmtId="176" fontId="26" fillId="38" borderId="26">
      <alignment vertical="center"/>
    </xf>
    <xf numFmtId="176" fontId="9" fillId="43" borderId="26">
      <alignment vertical="center"/>
    </xf>
    <xf numFmtId="176" fontId="26" fillId="38" borderId="26">
      <alignment vertical="center"/>
    </xf>
    <xf numFmtId="176" fontId="9" fillId="43" borderId="26">
      <alignment vertical="center"/>
    </xf>
    <xf numFmtId="176" fontId="26" fillId="38"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176" fontId="26" fillId="38"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176" fontId="26" fillId="38"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176" fontId="26" fillId="38" borderId="26">
      <alignment vertical="center"/>
    </xf>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11" fillId="0" borderId="0" applyNumberFormat="0" applyFont="0" applyFill="0" applyBorder="0" applyAlignment="0" applyProtection="0"/>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176" fontId="26" fillId="43" borderId="26">
      <alignment vertical="center"/>
    </xf>
    <xf numFmtId="176" fontId="26"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8" borderId="26">
      <alignment vertical="center"/>
    </xf>
    <xf numFmtId="176"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176"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176" fontId="26" fillId="43" borderId="26">
      <alignment vertical="center"/>
    </xf>
    <xf numFmtId="176" fontId="26"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176" fontId="26"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43" borderId="26">
      <alignment vertical="center"/>
    </xf>
    <xf numFmtId="176" fontId="26"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176"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176" fontId="26" fillId="38" borderId="26">
      <alignment vertical="center"/>
    </xf>
    <xf numFmtId="337" fontId="9" fillId="43" borderId="26">
      <alignment vertical="center"/>
    </xf>
    <xf numFmtId="176"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26" fillId="38"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11" fillId="0" borderId="0" applyNumberFormat="0" applyFont="0" applyFill="0" applyBorder="0" applyAlignment="0" applyProtection="0"/>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43" borderId="26">
      <alignment vertical="center"/>
    </xf>
    <xf numFmtId="176" fontId="9" fillId="43" borderId="26">
      <alignment vertical="center"/>
    </xf>
    <xf numFmtId="0" fontId="26" fillId="43" borderId="26">
      <alignment vertical="center"/>
    </xf>
    <xf numFmtId="176" fontId="9" fillId="43" borderId="26">
      <alignment vertical="center"/>
    </xf>
    <xf numFmtId="0" fontId="26" fillId="43" borderId="26">
      <alignment vertical="center"/>
    </xf>
    <xf numFmtId="176" fontId="9" fillId="43" borderId="26">
      <alignment vertical="center"/>
    </xf>
    <xf numFmtId="0" fontId="26" fillId="43" borderId="26">
      <alignment vertical="center"/>
    </xf>
    <xf numFmtId="176" fontId="9" fillId="43" borderId="26">
      <alignment vertical="center"/>
    </xf>
    <xf numFmtId="0" fontId="9" fillId="43" borderId="26">
      <alignment vertical="center"/>
    </xf>
    <xf numFmtId="0" fontId="9" fillId="43" borderId="26">
      <alignment vertical="center"/>
    </xf>
    <xf numFmtId="0"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176" fontId="26"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43" borderId="26">
      <alignment vertical="center"/>
    </xf>
    <xf numFmtId="176" fontId="26"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0"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0" fontId="26" fillId="38" borderId="26">
      <alignment vertical="center"/>
    </xf>
    <xf numFmtId="176" fontId="9" fillId="43" borderId="26">
      <alignment vertical="center"/>
    </xf>
    <xf numFmtId="0" fontId="26" fillId="38" borderId="26">
      <alignment vertical="center"/>
    </xf>
    <xf numFmtId="176" fontId="9" fillId="43" borderId="26">
      <alignment vertical="center"/>
    </xf>
    <xf numFmtId="0" fontId="26" fillId="38"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7" fontId="26" fillId="43" borderId="26">
      <alignment vertical="center"/>
    </xf>
    <xf numFmtId="337"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43" borderId="26">
      <alignment vertical="center"/>
    </xf>
    <xf numFmtId="337" fontId="26"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9" fillId="43" borderId="26">
      <alignment vertical="center"/>
    </xf>
    <xf numFmtId="337" fontId="26" fillId="38" borderId="26">
      <alignment vertical="center"/>
    </xf>
    <xf numFmtId="337" fontId="26" fillId="38" borderId="26">
      <alignment vertical="center"/>
    </xf>
    <xf numFmtId="337" fontId="26" fillId="38" borderId="26">
      <alignment vertical="center"/>
    </xf>
    <xf numFmtId="337"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337" fontId="9" fillId="43" borderId="26">
      <alignment vertical="center"/>
    </xf>
    <xf numFmtId="337"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3" borderId="26">
      <alignment vertical="center"/>
    </xf>
    <xf numFmtId="0" fontId="26"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43" borderId="26">
      <alignment vertical="center"/>
    </xf>
    <xf numFmtId="0" fontId="26"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9" fillId="43" borderId="26">
      <alignment vertical="center"/>
    </xf>
    <xf numFmtId="0"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26" fillId="38" borderId="26">
      <alignment vertical="center"/>
    </xf>
    <xf numFmtId="0" fontId="9" fillId="43" borderId="26">
      <alignment vertical="center"/>
    </xf>
    <xf numFmtId="0" fontId="9" fillId="43" borderId="26">
      <alignment vertical="center"/>
    </xf>
    <xf numFmtId="0" fontId="9" fillId="43" borderId="26">
      <alignment vertical="center"/>
    </xf>
    <xf numFmtId="0" fontId="9" fillId="43" borderId="26">
      <alignment vertical="center"/>
    </xf>
    <xf numFmtId="0" fontId="26" fillId="38" borderId="26">
      <alignment vertical="center"/>
    </xf>
    <xf numFmtId="0" fontId="26" fillId="38" borderId="26">
      <alignment vertical="center"/>
    </xf>
    <xf numFmtId="0" fontId="9" fillId="43" borderId="26">
      <alignment vertical="center"/>
    </xf>
    <xf numFmtId="0" fontId="26" fillId="38" borderId="26">
      <alignment vertical="center"/>
    </xf>
    <xf numFmtId="0" fontId="9" fillId="43" borderId="26">
      <alignment vertical="center"/>
    </xf>
    <xf numFmtId="0"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26" fillId="38"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0" fontId="11" fillId="0" borderId="0" applyNumberFormat="0" applyFont="0" applyFill="0" applyBorder="0" applyAlignment="0" applyProtection="0"/>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43" borderId="26">
      <alignment vertical="center"/>
    </xf>
    <xf numFmtId="176" fontId="9" fillId="43" borderId="26">
      <alignment vertical="center"/>
    </xf>
    <xf numFmtId="172" fontId="26" fillId="43" borderId="26">
      <alignment vertical="center"/>
    </xf>
    <xf numFmtId="176" fontId="9" fillId="43" borderId="26">
      <alignment vertical="center"/>
    </xf>
    <xf numFmtId="172" fontId="26" fillId="43" borderId="26">
      <alignment vertical="center"/>
    </xf>
    <xf numFmtId="176" fontId="9" fillId="43" borderId="26">
      <alignment vertical="center"/>
    </xf>
    <xf numFmtId="172" fontId="26" fillId="43" borderId="26">
      <alignment vertical="center"/>
    </xf>
    <xf numFmtId="176"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3" borderId="26">
      <alignment vertical="center"/>
    </xf>
    <xf numFmtId="176" fontId="26"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43" borderId="26">
      <alignment vertical="center"/>
    </xf>
    <xf numFmtId="176" fontId="26"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6" fontId="9" fillId="43" borderId="26">
      <alignment vertical="center"/>
    </xf>
    <xf numFmtId="176"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6" fontId="26" fillId="38" borderId="26">
      <alignment vertical="center"/>
    </xf>
    <xf numFmtId="176" fontId="26" fillId="38" borderId="26">
      <alignment vertical="center"/>
    </xf>
    <xf numFmtId="176" fontId="26" fillId="38" borderId="26">
      <alignment vertical="center"/>
    </xf>
    <xf numFmtId="172" fontId="26" fillId="38" borderId="26">
      <alignment vertical="center"/>
    </xf>
    <xf numFmtId="176" fontId="26" fillId="38" borderId="26">
      <alignment vertical="center"/>
    </xf>
    <xf numFmtId="176" fontId="9" fillId="43" borderId="26">
      <alignment vertical="center"/>
    </xf>
    <xf numFmtId="176" fontId="9" fillId="43" borderId="26">
      <alignment vertical="center"/>
    </xf>
    <xf numFmtId="176" fontId="9" fillId="43" borderId="26">
      <alignment vertical="center"/>
    </xf>
    <xf numFmtId="176" fontId="9" fillId="43" borderId="26">
      <alignment vertical="center"/>
    </xf>
    <xf numFmtId="176" fontId="26" fillId="38" borderId="26">
      <alignment vertical="center"/>
    </xf>
    <xf numFmtId="172" fontId="26" fillId="38" borderId="26">
      <alignment vertical="center"/>
    </xf>
    <xf numFmtId="176" fontId="9" fillId="43" borderId="26">
      <alignment vertical="center"/>
    </xf>
    <xf numFmtId="172" fontId="26" fillId="38" borderId="26">
      <alignment vertical="center"/>
    </xf>
    <xf numFmtId="176" fontId="9" fillId="43" borderId="26">
      <alignment vertical="center"/>
    </xf>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26" fillId="38"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3" borderId="26">
      <alignment vertical="center"/>
    </xf>
    <xf numFmtId="172" fontId="26"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38" borderId="26">
      <alignment vertical="center"/>
    </xf>
    <xf numFmtId="172" fontId="26" fillId="43" borderId="26">
      <alignment vertical="center"/>
    </xf>
    <xf numFmtId="172" fontId="26"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172" fontId="9" fillId="43" borderId="26">
      <alignment vertical="center"/>
    </xf>
    <xf numFmtId="172" fontId="9" fillId="43" borderId="26">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8" borderId="26">
      <alignment vertical="center"/>
    </xf>
    <xf numFmtId="172" fontId="9" fillId="44"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44" borderId="26">
      <alignment horizontal="right" vertical="center"/>
      <protection locked="0"/>
    </xf>
    <xf numFmtId="331" fontId="9" fillId="44" borderId="26">
      <alignment horizontal="right" vertical="center"/>
      <protection locked="0"/>
    </xf>
    <xf numFmtId="176" fontId="26" fillId="44" borderId="26">
      <alignment horizontal="right" vertical="center"/>
      <protection locked="0"/>
    </xf>
    <xf numFmtId="331" fontId="9" fillId="44" borderId="26">
      <alignment horizontal="right" vertical="center"/>
      <protection locked="0"/>
    </xf>
    <xf numFmtId="176" fontId="26" fillId="44" borderId="26">
      <alignment horizontal="right" vertical="center"/>
      <protection locked="0"/>
    </xf>
    <xf numFmtId="331" fontId="9" fillId="44" borderId="26">
      <alignment horizontal="right" vertical="center"/>
      <protection locked="0"/>
    </xf>
    <xf numFmtId="176" fontId="26" fillId="44" borderId="26">
      <alignment horizontal="right" vertical="center"/>
      <protection locked="0"/>
    </xf>
    <xf numFmtId="331"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26" fillId="44" borderId="26">
      <alignment horizontal="right" vertical="center"/>
      <protection locked="0"/>
    </xf>
    <xf numFmtId="331" fontId="26"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44" borderId="26">
      <alignment horizontal="right" vertical="center"/>
      <protection locked="0"/>
    </xf>
    <xf numFmtId="331" fontId="26"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331"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331"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331"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176" fontId="26"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331" fontId="9" fillId="44" borderId="26">
      <alignment horizontal="right" vertical="center"/>
      <protection locked="0"/>
    </xf>
    <xf numFmtId="331"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331" fontId="9" fillId="44" borderId="26">
      <alignment horizontal="right" vertical="center"/>
      <protection locked="0"/>
    </xf>
    <xf numFmtId="331"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331" fontId="26" fillId="39" borderId="26">
      <alignment horizontal="right" vertical="center"/>
      <protection locked="0"/>
    </xf>
    <xf numFmtId="176" fontId="26" fillId="39" borderId="26">
      <alignment horizontal="right" vertical="center"/>
      <protection locked="0"/>
    </xf>
    <xf numFmtId="331" fontId="26" fillId="39"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9" fillId="44" borderId="26">
      <alignment horizontal="right" vertical="center"/>
      <protection locked="0"/>
    </xf>
    <xf numFmtId="331" fontId="26" fillId="39"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331" fontId="9" fillId="44" borderId="26">
      <alignment horizontal="right" vertical="center"/>
      <protection locked="0"/>
    </xf>
    <xf numFmtId="176"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44" borderId="26">
      <alignment horizontal="right" vertical="center"/>
      <protection locked="0"/>
    </xf>
    <xf numFmtId="176" fontId="9" fillId="44" borderId="26">
      <alignment horizontal="right" vertical="center"/>
      <protection locked="0"/>
    </xf>
    <xf numFmtId="0" fontId="26" fillId="44" borderId="26">
      <alignment horizontal="right" vertical="center"/>
      <protection locked="0"/>
    </xf>
    <xf numFmtId="176" fontId="9" fillId="44" borderId="26">
      <alignment horizontal="right" vertical="center"/>
      <protection locked="0"/>
    </xf>
    <xf numFmtId="0" fontId="26" fillId="44" borderId="26">
      <alignment horizontal="right" vertical="center"/>
      <protection locked="0"/>
    </xf>
    <xf numFmtId="176" fontId="9" fillId="44" borderId="26">
      <alignment horizontal="right" vertical="center"/>
      <protection locked="0"/>
    </xf>
    <xf numFmtId="0" fontId="26" fillId="44" borderId="26">
      <alignment horizontal="right" vertical="center"/>
      <protection locked="0"/>
    </xf>
    <xf numFmtId="176"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0"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176" fontId="9" fillId="44"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44" borderId="26">
      <alignment horizontal="right" vertical="center"/>
      <protection locked="0"/>
    </xf>
    <xf numFmtId="0" fontId="26"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9" fillId="44" borderId="26">
      <alignment horizontal="right" vertical="center"/>
      <protection locked="0"/>
    </xf>
    <xf numFmtId="0"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0" fontId="26" fillId="39" borderId="26">
      <alignment horizontal="right" vertical="center"/>
      <protection locked="0"/>
    </xf>
    <xf numFmtId="0" fontId="9" fillId="44" borderId="26">
      <alignment horizontal="right" vertical="center"/>
      <protection locked="0"/>
    </xf>
    <xf numFmtId="0" fontId="26" fillId="39"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44" borderId="26">
      <alignment horizontal="right" vertical="center"/>
      <protection locked="0"/>
    </xf>
    <xf numFmtId="176" fontId="9" fillId="44" borderId="26">
      <alignment horizontal="right" vertical="center"/>
      <protection locked="0"/>
    </xf>
    <xf numFmtId="172" fontId="26" fillId="44" borderId="26">
      <alignment horizontal="right" vertical="center"/>
      <protection locked="0"/>
    </xf>
    <xf numFmtId="176" fontId="9" fillId="44" borderId="26">
      <alignment horizontal="right" vertical="center"/>
      <protection locked="0"/>
    </xf>
    <xf numFmtId="172" fontId="26" fillId="44" borderId="26">
      <alignment horizontal="right" vertical="center"/>
      <protection locked="0"/>
    </xf>
    <xf numFmtId="176" fontId="9" fillId="44" borderId="26">
      <alignment horizontal="right" vertical="center"/>
      <protection locked="0"/>
    </xf>
    <xf numFmtId="172" fontId="26" fillId="44" borderId="26">
      <alignment horizontal="right" vertical="center"/>
      <protection locked="0"/>
    </xf>
    <xf numFmtId="176"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44" borderId="26">
      <alignment horizontal="right" vertical="center"/>
      <protection locked="0"/>
    </xf>
    <xf numFmtId="176" fontId="26"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6" fontId="9" fillId="44" borderId="26">
      <alignment horizontal="right" vertical="center"/>
      <protection locked="0"/>
    </xf>
    <xf numFmtId="176"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6" fontId="26" fillId="39" borderId="26">
      <alignment horizontal="right" vertical="center"/>
      <protection locked="0"/>
    </xf>
    <xf numFmtId="172" fontId="26" fillId="39" borderId="26">
      <alignment horizontal="right" vertical="center"/>
      <protection locked="0"/>
    </xf>
    <xf numFmtId="176" fontId="26" fillId="39"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9" fillId="44" borderId="26">
      <alignment horizontal="right" vertical="center"/>
      <protection locked="0"/>
    </xf>
    <xf numFmtId="176" fontId="26" fillId="39"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6"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39" borderId="26">
      <alignment horizontal="right" vertical="center"/>
      <protection locked="0"/>
    </xf>
    <xf numFmtId="172" fontId="26" fillId="44" borderId="26">
      <alignment horizontal="right" vertical="center"/>
      <protection locked="0"/>
    </xf>
    <xf numFmtId="172" fontId="26"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172" fontId="9" fillId="44" borderId="26">
      <alignment horizontal="right" vertical="center"/>
      <protection locked="0"/>
    </xf>
    <xf numFmtId="172" fontId="9" fillId="44" borderId="26">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26" fillId="39" borderId="26">
      <alignment horizontal="right" vertical="center"/>
      <protection locked="0"/>
    </xf>
    <xf numFmtId="336" fontId="26" fillId="0" borderId="0">
      <protection locked="0"/>
    </xf>
    <xf numFmtId="338" fontId="201" fillId="0" borderId="0"/>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protection locked="0"/>
    </xf>
    <xf numFmtId="185" fontId="202" fillId="0" borderId="45">
      <protection locked="0"/>
    </xf>
    <xf numFmtId="185" fontId="202" fillId="0" borderId="45">
      <protection locked="0"/>
    </xf>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protection locked="0"/>
    </xf>
    <xf numFmtId="185" fontId="202" fillId="0" borderId="45">
      <protection locked="0"/>
    </xf>
    <xf numFmtId="185" fontId="202" fillId="0" borderId="45">
      <protection locked="0"/>
    </xf>
    <xf numFmtId="197" fontId="202" fillId="0" borderId="0"/>
    <xf numFmtId="185" fontId="202" fillId="0" borderId="45">
      <protection locked="0"/>
    </xf>
    <xf numFmtId="185" fontId="202" fillId="0" borderId="45">
      <protection locked="0"/>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protection locked="0"/>
    </xf>
    <xf numFmtId="185" fontId="202" fillId="0" borderId="45">
      <protection locked="0"/>
    </xf>
    <xf numFmtId="197" fontId="202" fillId="0" borderId="0"/>
    <xf numFmtId="185" fontId="202" fillId="0" borderId="0"/>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protection locked="0"/>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protection locked="0"/>
    </xf>
    <xf numFmtId="185" fontId="202" fillId="0" borderId="45">
      <protection locked="0"/>
    </xf>
    <xf numFmtId="185" fontId="202" fillId="0" borderId="45">
      <protection locked="0"/>
    </xf>
    <xf numFmtId="185" fontId="202" fillId="0" borderId="45">
      <protection locked="0"/>
    </xf>
    <xf numFmtId="185" fontId="202" fillId="0" borderId="45">
      <protection locked="0"/>
    </xf>
    <xf numFmtId="197" fontId="202" fillId="0" borderId="0"/>
    <xf numFmtId="185" fontId="202" fillId="0" borderId="45">
      <protection locked="0"/>
    </xf>
    <xf numFmtId="185" fontId="202" fillId="0" borderId="45">
      <protection locked="0"/>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protection locked="0"/>
    </xf>
    <xf numFmtId="185" fontId="202" fillId="0" borderId="45">
      <protection locked="0"/>
    </xf>
    <xf numFmtId="185" fontId="202" fillId="0" borderId="45">
      <protection locked="0"/>
    </xf>
    <xf numFmtId="185" fontId="202" fillId="0" borderId="45">
      <protection locked="0"/>
    </xf>
    <xf numFmtId="185" fontId="202" fillId="0" borderId="45">
      <protection locked="0"/>
    </xf>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alignment horizontal="centerContinuous"/>
    </xf>
    <xf numFmtId="185" fontId="202" fillId="0" borderId="45">
      <alignment horizontal="centerContinuous"/>
    </xf>
    <xf numFmtId="185" fontId="202" fillId="0" borderId="45">
      <protection locked="0"/>
    </xf>
    <xf numFmtId="185" fontId="202" fillId="0" borderId="45">
      <alignment horizontal="centerContinuous"/>
    </xf>
    <xf numFmtId="185" fontId="202" fillId="0" borderId="45">
      <alignment horizontal="centerContinuous"/>
    </xf>
    <xf numFmtId="185" fontId="202" fillId="0" borderId="45">
      <alignment horizontal="centerContinuous"/>
    </xf>
    <xf numFmtId="197" fontId="202" fillId="0" borderId="0"/>
    <xf numFmtId="185" fontId="202" fillId="0" borderId="45">
      <protection locked="0"/>
    </xf>
    <xf numFmtId="185" fontId="202" fillId="0" borderId="45">
      <protection locked="0"/>
    </xf>
    <xf numFmtId="185" fontId="203" fillId="0" borderId="46">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1" fillId="45" borderId="3" applyNumberFormat="0" applyProtection="0">
      <alignment vertical="center"/>
    </xf>
    <xf numFmtId="4" fontId="21"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1" fillId="45"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204" fillId="45" borderId="3" applyNumberFormat="0" applyProtection="0">
      <alignment vertical="center"/>
    </xf>
    <xf numFmtId="4" fontId="204" fillId="45"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19" fillId="18" borderId="3" applyNumberFormat="0" applyProtection="0">
      <alignment vertical="center"/>
    </xf>
    <xf numFmtId="4" fontId="204" fillId="45" borderId="3" applyNumberFormat="0" applyProtection="0">
      <alignment vertical="center"/>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205" fillId="45" borderId="3" applyNumberFormat="0" applyProtection="0">
      <alignment horizontal="left" vertical="center" indent="1"/>
    </xf>
    <xf numFmtId="4" fontId="205" fillId="45"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18" fillId="18" borderId="3" applyNumberFormat="0" applyProtection="0">
      <alignment horizontal="left" vertical="center" indent="1"/>
    </xf>
    <xf numFmtId="4" fontId="205" fillId="45" borderId="3" applyNumberFormat="0" applyProtection="0">
      <alignment horizontal="left" vertical="center"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0" fontId="18" fillId="18" borderId="3" applyNumberFormat="0" applyProtection="0">
      <alignment horizontal="left" vertical="top" indent="1"/>
    </xf>
    <xf numFmtId="4" fontId="205" fillId="103" borderId="0" applyNumberFormat="0" applyProtection="0">
      <alignment horizontal="left" vertical="center" indent="1"/>
    </xf>
    <xf numFmtId="4" fontId="205" fillId="103" borderId="0" applyNumberFormat="0" applyProtection="0">
      <alignment horizontal="left" vertical="center" indent="1"/>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5" fillId="104" borderId="3" applyNumberFormat="0" applyProtection="0">
      <alignment horizontal="right" vertical="center"/>
    </xf>
    <xf numFmtId="4" fontId="205" fillId="104"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 fillId="20" borderId="3" applyNumberFormat="0" applyProtection="0">
      <alignment horizontal="right" vertical="center"/>
    </xf>
    <xf numFmtId="4" fontId="205" fillId="104"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5" fillId="89" borderId="3" applyNumberFormat="0" applyProtection="0">
      <alignment horizontal="right" vertical="center"/>
    </xf>
    <xf numFmtId="4" fontId="205" fillId="89"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 fillId="21" borderId="3" applyNumberFormat="0" applyProtection="0">
      <alignment horizontal="right" vertical="center"/>
    </xf>
    <xf numFmtId="4" fontId="205" fillId="89"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5" fillId="86" borderId="3" applyNumberFormat="0" applyProtection="0">
      <alignment horizontal="right" vertical="center"/>
    </xf>
    <xf numFmtId="4" fontId="205" fillId="86"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 fillId="22" borderId="3" applyNumberFormat="0" applyProtection="0">
      <alignment horizontal="right" vertical="center"/>
    </xf>
    <xf numFmtId="4" fontId="205" fillId="86"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5" fillId="38" borderId="3" applyNumberFormat="0" applyProtection="0">
      <alignment horizontal="right" vertical="center"/>
    </xf>
    <xf numFmtId="4" fontId="205" fillId="38"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 fillId="23" borderId="3" applyNumberFormat="0" applyProtection="0">
      <alignment horizontal="right" vertical="center"/>
    </xf>
    <xf numFmtId="4" fontId="205" fillId="38"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5" fillId="90" borderId="3" applyNumberFormat="0" applyProtection="0">
      <alignment horizontal="right" vertical="center"/>
    </xf>
    <xf numFmtId="4" fontId="205" fillId="90"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 fillId="24" borderId="3" applyNumberFormat="0" applyProtection="0">
      <alignment horizontal="right" vertical="center"/>
    </xf>
    <xf numFmtId="4" fontId="205" fillId="90"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5" fillId="37" borderId="3" applyNumberFormat="0" applyProtection="0">
      <alignment horizontal="right" vertical="center"/>
    </xf>
    <xf numFmtId="4" fontId="205" fillId="37"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 fillId="25" borderId="3" applyNumberFormat="0" applyProtection="0">
      <alignment horizontal="right" vertical="center"/>
    </xf>
    <xf numFmtId="4" fontId="205" fillId="37"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5" fillId="91" borderId="3" applyNumberFormat="0" applyProtection="0">
      <alignment horizontal="right" vertical="center"/>
    </xf>
    <xf numFmtId="4" fontId="205" fillId="91"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 fillId="26" borderId="3" applyNumberFormat="0" applyProtection="0">
      <alignment horizontal="right" vertical="center"/>
    </xf>
    <xf numFmtId="4" fontId="205" fillId="91"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5" fillId="105" borderId="3" applyNumberFormat="0" applyProtection="0">
      <alignment horizontal="right" vertical="center"/>
    </xf>
    <xf numFmtId="4" fontId="205" fillId="105"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 fillId="27" borderId="3" applyNumberFormat="0" applyProtection="0">
      <alignment horizontal="right" vertical="center"/>
    </xf>
    <xf numFmtId="4" fontId="205" fillId="105"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5" fillId="97" borderId="3" applyNumberFormat="0" applyProtection="0">
      <alignment horizontal="right" vertical="center"/>
    </xf>
    <xf numFmtId="4" fontId="205" fillId="97"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 fillId="28" borderId="3" applyNumberFormat="0" applyProtection="0">
      <alignment horizontal="right" vertical="center"/>
    </xf>
    <xf numFmtId="4" fontId="205" fillId="97" borderId="3" applyNumberFormat="0" applyProtection="0">
      <alignment horizontal="right" vertical="center"/>
    </xf>
    <xf numFmtId="4" fontId="21" fillId="106" borderId="4" applyNumberFormat="0" applyProtection="0">
      <alignment horizontal="left" vertical="center" indent="1"/>
    </xf>
    <xf numFmtId="4" fontId="21" fillId="106" borderId="4" applyNumberFormat="0" applyProtection="0">
      <alignment horizontal="left" vertical="center" indent="1"/>
    </xf>
    <xf numFmtId="4" fontId="21" fillId="40" borderId="0" applyNumberFormat="0" applyProtection="0">
      <alignment horizontal="left" vertical="center" indent="1"/>
    </xf>
    <xf numFmtId="4" fontId="21" fillId="40" borderId="0" applyNumberFormat="0" applyProtection="0">
      <alignment horizontal="left" vertical="center" indent="1"/>
    </xf>
    <xf numFmtId="4" fontId="21" fillId="103" borderId="0" applyNumberFormat="0" applyProtection="0">
      <alignment horizontal="left" vertical="center" indent="1"/>
    </xf>
    <xf numFmtId="4" fontId="21" fillId="103" borderId="0" applyNumberFormat="0" applyProtection="0">
      <alignment horizontal="left" vertical="center" indent="1"/>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5" fillId="40" borderId="3" applyNumberFormat="0" applyProtection="0">
      <alignment horizontal="right" vertical="center"/>
    </xf>
    <xf numFmtId="4" fontId="205" fillId="40"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 fillId="19" borderId="3" applyNumberFormat="0" applyProtection="0">
      <alignment horizontal="right" vertical="center"/>
    </xf>
    <xf numFmtId="4" fontId="205" fillId="40" borderId="3" applyNumberFormat="0" applyProtection="0">
      <alignment horizontal="right" vertical="center"/>
    </xf>
    <xf numFmtId="4" fontId="20" fillId="30" borderId="0" applyNumberFormat="0" applyProtection="0">
      <alignment horizontal="left" vertical="center" indent="1"/>
    </xf>
    <xf numFmtId="4" fontId="55" fillId="30" borderId="47" applyNumberFormat="0" applyProtection="0">
      <alignment horizontal="left" vertical="center" indent="1"/>
    </xf>
    <xf numFmtId="4" fontId="20" fillId="19" borderId="0" applyNumberFormat="0" applyProtection="0">
      <alignment horizontal="left" vertical="center" indent="1"/>
    </xf>
    <xf numFmtId="4" fontId="55" fillId="19" borderId="47"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11" fillId="31" borderId="3" applyNumberFormat="0" applyProtection="0">
      <alignment horizontal="left" vertical="center" indent="1"/>
    </xf>
    <xf numFmtId="0" fontId="55" fillId="61" borderId="48" applyNumberFormat="0" applyProtection="0">
      <alignment horizontal="left" vertical="center"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11" fillId="31" borderId="3" applyNumberFormat="0" applyProtection="0">
      <alignment horizontal="left" vertical="top" indent="1"/>
    </xf>
    <xf numFmtId="0" fontId="55" fillId="31" borderId="3" applyNumberFormat="0" applyProtection="0">
      <alignment horizontal="left" vertical="top"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11" fillId="19" borderId="3" applyNumberFormat="0" applyProtection="0">
      <alignment horizontal="left" vertical="center" indent="1"/>
    </xf>
    <xf numFmtId="0" fontId="55" fillId="83" borderId="48" applyNumberFormat="0" applyProtection="0">
      <alignment horizontal="left" vertical="center"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11" fillId="19" borderId="3" applyNumberFormat="0" applyProtection="0">
      <alignment horizontal="left" vertical="top" indent="1"/>
    </xf>
    <xf numFmtId="0" fontId="55" fillId="19" borderId="3" applyNumberFormat="0" applyProtection="0">
      <alignment horizontal="left" vertical="top"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11" fillId="32" borderId="3" applyNumberFormat="0" applyProtection="0">
      <alignment horizontal="left" vertical="center" indent="1"/>
    </xf>
    <xf numFmtId="0" fontId="55" fillId="32" borderId="48" applyNumberFormat="0" applyProtection="0">
      <alignment horizontal="left" vertical="center"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11" fillId="32" borderId="3" applyNumberFormat="0" applyProtection="0">
      <alignment horizontal="left" vertical="top" indent="1"/>
    </xf>
    <xf numFmtId="0" fontId="55" fillId="32" borderId="3" applyNumberFormat="0" applyProtection="0">
      <alignment horizontal="left" vertical="top"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11" fillId="30" borderId="3" applyNumberFormat="0" applyProtection="0">
      <alignment horizontal="left" vertical="center" indent="1"/>
    </xf>
    <xf numFmtId="0" fontId="55" fillId="30" borderId="48" applyNumberFormat="0" applyProtection="0">
      <alignment horizontal="left" vertical="center"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11" fillId="30" borderId="3" applyNumberFormat="0" applyProtection="0">
      <alignment horizontal="left" vertical="top" indent="1"/>
    </xf>
    <xf numFmtId="0" fontId="55" fillId="30" borderId="3" applyNumberFormat="0" applyProtection="0">
      <alignment horizontal="left" vertical="top" indent="1"/>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0" borderId="0" applyNumberFormat="0" applyFont="0" applyFill="0" applyBorder="0" applyAlignment="0" applyProtection="0"/>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11" fillId="33" borderId="6" applyNumberFormat="0">
      <protection locked="0"/>
    </xf>
    <xf numFmtId="0" fontId="55" fillId="33" borderId="49" applyNumberFormat="0">
      <protection locked="0"/>
    </xf>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0" fontId="95" fillId="31" borderId="50" applyBorder="0"/>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5" fillId="107"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06" fillId="107" borderId="3" applyNumberFormat="0" applyProtection="0">
      <alignment vertical="center"/>
    </xf>
    <xf numFmtId="4" fontId="206" fillId="107"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2" fillId="34" borderId="3" applyNumberFormat="0" applyProtection="0">
      <alignment vertical="center"/>
    </xf>
    <xf numFmtId="4" fontId="206" fillId="107" borderId="3" applyNumberFormat="0" applyProtection="0">
      <alignment vertical="center"/>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1" fillId="40" borderId="51" applyNumberFormat="0" applyProtection="0">
      <alignment horizontal="left" vertical="center" indent="1"/>
    </xf>
    <xf numFmtId="4" fontId="21" fillId="40" borderId="51"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0" fillId="34" borderId="3" applyNumberFormat="0" applyProtection="0">
      <alignment horizontal="left" vertical="center" indent="1"/>
    </xf>
    <xf numFmtId="4" fontId="21" fillId="40" borderId="51" applyNumberFormat="0" applyProtection="0">
      <alignment horizontal="left" vertical="center"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0" fontId="20" fillId="34" borderId="3" applyNumberFormat="0" applyProtection="0">
      <alignment horizontal="left" vertical="top" indent="1"/>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5" fillId="107"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6" fillId="107" borderId="3" applyNumberFormat="0" applyProtection="0">
      <alignment horizontal="right" vertical="center"/>
    </xf>
    <xf numFmtId="4" fontId="206" fillId="107"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6" fillId="107" borderId="3" applyNumberFormat="0" applyProtection="0">
      <alignment horizontal="right" vertical="center"/>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1" fillId="40" borderId="3" applyNumberFormat="0" applyProtection="0">
      <alignment horizontal="left" vertical="center" indent="1"/>
    </xf>
    <xf numFmtId="4" fontId="21" fillId="40"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0" fillId="19" borderId="3" applyNumberFormat="0" applyProtection="0">
      <alignment horizontal="left" vertical="center" indent="1"/>
    </xf>
    <xf numFmtId="4" fontId="21" fillId="40" borderId="3" applyNumberFormat="0" applyProtection="0">
      <alignment horizontal="left" vertical="center"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0" fontId="20" fillId="19" borderId="3" applyNumberFormat="0" applyProtection="0">
      <alignment horizontal="left" vertical="top" indent="1"/>
    </xf>
    <xf numFmtId="4" fontId="23" fillId="108" borderId="51" applyNumberFormat="0" applyProtection="0">
      <alignment horizontal="left" vertical="center" indent="1"/>
    </xf>
    <xf numFmtId="4" fontId="23" fillId="108" borderId="51" applyNumberFormat="0" applyProtection="0">
      <alignment horizontal="left" vertical="center" indent="1"/>
    </xf>
    <xf numFmtId="4" fontId="23" fillId="108" borderId="51" applyNumberFormat="0" applyProtection="0">
      <alignment horizontal="left" vertical="center" indent="1"/>
    </xf>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11" fillId="0" borderId="0" applyNumberFormat="0" applyFont="0" applyFill="0" applyBorder="0" applyAlignment="0" applyProtection="0"/>
    <xf numFmtId="0" fontId="55" fillId="109" borderId="6"/>
    <xf numFmtId="0" fontId="55" fillId="109" borderId="6"/>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55" fillId="109" borderId="6"/>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11" fillId="0" borderId="0" applyNumberFormat="0" applyFont="0" applyFill="0" applyBorder="0" applyAlignment="0" applyProtection="0"/>
    <xf numFmtId="0" fontId="55" fillId="109" borderId="6"/>
    <xf numFmtId="0" fontId="55" fillId="109" borderId="6"/>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55" fillId="109" borderId="6"/>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11" fillId="0" borderId="0" applyNumberFormat="0" applyFont="0" applyFill="0" applyBorder="0" applyAlignment="0" applyProtection="0"/>
    <xf numFmtId="0" fontId="55" fillId="109" borderId="6"/>
    <xf numFmtId="0" fontId="55" fillId="109" borderId="6"/>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11" fillId="0" borderId="0" applyNumberFormat="0" applyFont="0" applyFill="0" applyBorder="0" applyAlignment="0" applyProtection="0"/>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0" fontId="55" fillId="109" borderId="6"/>
    <xf numFmtId="185" fontId="55" fillId="109" borderId="6"/>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0" fontId="11" fillId="0" borderId="0" applyNumberFormat="0" applyFont="0" applyFill="0" applyBorder="0" applyAlignment="0" applyProtection="0"/>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0" fontId="11" fillId="0" borderId="0" applyNumberFormat="0" applyFont="0" applyFill="0" applyBorder="0" applyAlignment="0" applyProtection="0"/>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4" fillId="30" borderId="3" applyNumberFormat="0" applyProtection="0">
      <alignment horizontal="right" vertical="center"/>
    </xf>
    <xf numFmtId="4" fontId="207" fillId="107" borderId="3" applyNumberFormat="0" applyProtection="0">
      <alignment horizontal="right" vertical="center"/>
    </xf>
    <xf numFmtId="38" fontId="208" fillId="0" borderId="52">
      <alignment horizontal="center"/>
    </xf>
    <xf numFmtId="185" fontId="209" fillId="110" borderId="0"/>
    <xf numFmtId="185" fontId="80" fillId="0" borderId="0"/>
    <xf numFmtId="38" fontId="51" fillId="0" borderId="0" applyFont="0" applyFill="0" applyBorder="0" applyAlignment="0" applyProtection="0"/>
    <xf numFmtId="40" fontId="148" fillId="0" borderId="0" applyFont="0" applyFill="0" applyBorder="0" applyAlignment="0" applyProtection="0"/>
    <xf numFmtId="318" fontId="57" fillId="111" borderId="0" applyFont="0"/>
    <xf numFmtId="185" fontId="210" fillId="0" borderId="0"/>
    <xf numFmtId="0" fontId="11"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1" fillId="0" borderId="0" applyNumberFormat="0" applyFont="0" applyFill="0" applyBorder="0" applyAlignment="0" applyProtection="0"/>
    <xf numFmtId="0" fontId="25"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 fontId="11" fillId="0" borderId="0"/>
    <xf numFmtId="185" fontId="51" fillId="0" borderId="0">
      <alignment textRotation="90"/>
    </xf>
    <xf numFmtId="0" fontId="100" fillId="81" borderId="0" applyAlignment="0" applyProtection="0">
      <alignment horizontal="right" vertical="center"/>
    </xf>
    <xf numFmtId="195" fontId="60" fillId="0" borderId="0">
      <alignment vertical="center"/>
    </xf>
    <xf numFmtId="0" fontId="11" fillId="112" borderId="0"/>
    <xf numFmtId="339" fontId="20" fillId="0" borderId="0" applyFill="0" applyBorder="0" applyAlignment="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5" fontId="11" fillId="0" borderId="0" applyFont="0" applyFill="0" applyBorder="0" applyAlignment="0" applyProtection="0"/>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38" fontId="11" fillId="0" borderId="0" applyFont="0" applyFill="0" applyBorder="0" applyAlignment="0" applyProtection="0"/>
    <xf numFmtId="185" fontId="11" fillId="0" borderId="0">
      <alignment vertical="top"/>
    </xf>
    <xf numFmtId="185" fontId="212" fillId="50" borderId="0" applyNumberFormat="0" applyProtection="0">
      <alignment horizontal="center" vertical="center"/>
    </xf>
    <xf numFmtId="4" fontId="20" fillId="50" borderId="0" applyProtection="0">
      <alignment horizontal="center" vertical="center"/>
    </xf>
    <xf numFmtId="185" fontId="213" fillId="50" borderId="0" applyNumberFormat="0" applyProtection="0">
      <alignment horizontal="center" vertical="center"/>
    </xf>
    <xf numFmtId="4" fontId="22" fillId="50" borderId="0" applyProtection="0">
      <alignment horizontal="center" vertical="center"/>
    </xf>
    <xf numFmtId="185" fontId="214" fillId="113" borderId="0" applyNumberFormat="0" applyProtection="0">
      <alignment horizontal="center" vertical="center"/>
    </xf>
    <xf numFmtId="4" fontId="24" fillId="113" borderId="0" applyProtection="0">
      <alignment horizontal="center" vertical="center"/>
    </xf>
    <xf numFmtId="185" fontId="211" fillId="50" borderId="0" applyNumberFormat="0" applyProtection="0">
      <alignment horizontal="center" vertical="center"/>
    </xf>
    <xf numFmtId="4" fontId="215" fillId="50" borderId="0" applyProtection="0">
      <alignment horizontal="center" vertical="center"/>
    </xf>
    <xf numFmtId="185" fontId="216" fillId="114" borderId="0" applyNumberFormat="0" applyProtection="0">
      <alignment horizontal="center" vertical="center"/>
    </xf>
    <xf numFmtId="4" fontId="63" fillId="114" borderId="0" applyProtection="0">
      <alignment horizontal="center" vertical="center"/>
    </xf>
    <xf numFmtId="185" fontId="18" fillId="50" borderId="0" applyNumberFormat="0" applyProtection="0">
      <alignment horizontal="center" vertical="center" wrapText="1"/>
    </xf>
    <xf numFmtId="185" fontId="19" fillId="50" borderId="0" applyNumberFormat="0" applyProtection="0">
      <alignment horizontal="center" vertical="center" wrapText="1"/>
    </xf>
    <xf numFmtId="185" fontId="143" fillId="113" borderId="0" applyNumberFormat="0" applyProtection="0">
      <alignment horizontal="center" vertical="center" wrapText="1"/>
    </xf>
    <xf numFmtId="185" fontId="217" fillId="50" borderId="0" applyNumberFormat="0" applyProtection="0">
      <alignment horizontal="center" vertical="center"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9" fillId="50" borderId="0" applyNumberFormat="0" applyProtection="0">
      <alignment horizontal="center" vertical="center" wrapText="1"/>
    </xf>
    <xf numFmtId="4" fontId="219" fillId="50" borderId="0" applyProtection="0">
      <alignment horizontal="center" vertical="top" wrapText="1"/>
    </xf>
    <xf numFmtId="185" fontId="143" fillId="113" borderId="0" applyNumberFormat="0" applyProtection="0">
      <alignment horizontal="center" vertical="center" wrapText="1"/>
    </xf>
    <xf numFmtId="4" fontId="220" fillId="113" borderId="0" applyProtection="0">
      <alignment horizontal="center" vertical="top" wrapText="1"/>
    </xf>
    <xf numFmtId="185" fontId="217" fillId="50" borderId="0" applyNumberFormat="0" applyProtection="0">
      <alignment horizontal="center" vertical="center" wrapText="1"/>
    </xf>
    <xf numFmtId="4" fontId="221" fillId="50" borderId="0" applyProtection="0">
      <alignment horizontal="center" vertical="top" wrapText="1"/>
    </xf>
    <xf numFmtId="185" fontId="189" fillId="114" borderId="0" applyNumberFormat="0" applyProtection="0">
      <alignment horizontal="center" vertical="center" wrapText="1"/>
    </xf>
    <xf numFmtId="4" fontId="222" fillId="114" borderId="0" applyProtection="0">
      <alignment horizontal="center" vertical="top" wrapText="1"/>
    </xf>
    <xf numFmtId="185" fontId="18" fillId="104" borderId="0" applyNumberFormat="0" applyProtection="0">
      <alignment horizontal="center" vertical="center" wrapText="1"/>
    </xf>
    <xf numFmtId="4" fontId="218" fillId="104" borderId="0" applyProtection="0">
      <alignment horizontal="center" vertical="top" wrapText="1"/>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7" fontId="211" fillId="50" borderId="0" applyProtection="0">
      <alignment horizontal="center" vertical="center"/>
    </xf>
    <xf numFmtId="185" fontId="223" fillId="0" borderId="0"/>
    <xf numFmtId="185" fontId="224" fillId="40" borderId="0"/>
    <xf numFmtId="185" fontId="225" fillId="0" borderId="0">
      <alignment horizontal="left" vertical="center"/>
    </xf>
    <xf numFmtId="256" fontId="80" fillId="0" borderId="0"/>
    <xf numFmtId="185" fontId="109" fillId="0" borderId="0"/>
    <xf numFmtId="185" fontId="80" fillId="0" borderId="0">
      <alignment horizontal="center"/>
    </xf>
    <xf numFmtId="37" fontId="66" fillId="0" borderId="53" applyNumberFormat="0"/>
    <xf numFmtId="40" fontId="11" fillId="0" borderId="0" applyBorder="0">
      <alignment horizontal="right"/>
    </xf>
    <xf numFmtId="37" fontId="66" fillId="0" borderId="53" applyNumberFormat="0"/>
    <xf numFmtId="40" fontId="226" fillId="0" borderId="0" applyBorder="0">
      <alignment horizontal="right"/>
    </xf>
    <xf numFmtId="0" fontId="227" fillId="0" borderId="5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8" fillId="46" borderId="6">
      <protection locked="0"/>
    </xf>
    <xf numFmtId="0" fontId="218" fillId="46" borderId="6">
      <protection locked="0"/>
    </xf>
    <xf numFmtId="185" fontId="228" fillId="0" borderId="0" applyBorder="0" applyProtection="0">
      <alignment vertical="center"/>
    </xf>
    <xf numFmtId="185" fontId="228" fillId="0" borderId="9" applyBorder="0" applyProtection="0">
      <alignment horizontal="right" vertical="center"/>
    </xf>
    <xf numFmtId="185" fontId="229" fillId="115" borderId="0" applyBorder="0" applyProtection="0">
      <alignment horizontal="centerContinuous" vertical="center"/>
    </xf>
    <xf numFmtId="185" fontId="229" fillId="114" borderId="9" applyBorder="0" applyProtection="0">
      <alignment horizontal="centerContinuous" vertical="center"/>
    </xf>
    <xf numFmtId="185" fontId="230" fillId="0" borderId="0"/>
    <xf numFmtId="185" fontId="171" fillId="0" borderId="0"/>
    <xf numFmtId="185" fontId="231" fillId="0" borderId="0" applyFill="0" applyBorder="0" applyProtection="0">
      <alignment horizontal="left"/>
    </xf>
    <xf numFmtId="185" fontId="116" fillId="0" borderId="10" applyFill="0" applyBorder="0" applyProtection="0">
      <alignment horizontal="left" vertical="top"/>
    </xf>
    <xf numFmtId="185" fontId="232" fillId="0" borderId="0">
      <alignment horizontal="centerContinuous"/>
    </xf>
    <xf numFmtId="49" fontId="233" fillId="0" borderId="0"/>
    <xf numFmtId="49" fontId="43" fillId="0" borderId="0" applyFont="0" applyFill="0" applyBorder="0" applyAlignment="0" applyProtection="0"/>
    <xf numFmtId="185" fontId="234" fillId="0" borderId="0"/>
    <xf numFmtId="49" fontId="43" fillId="0" borderId="0" applyFont="0" applyFill="0" applyBorder="0" applyAlignment="0" applyProtection="0"/>
    <xf numFmtId="185" fontId="235" fillId="0" borderId="0"/>
    <xf numFmtId="0" fontId="95" fillId="83" borderId="0" applyAlignment="0" applyProtection="0"/>
    <xf numFmtId="0" fontId="55" fillId="83" borderId="0" applyAlignment="0" applyProtection="0">
      <alignment horizontal="left"/>
    </xf>
    <xf numFmtId="0" fontId="55" fillId="83" borderId="0" applyAlignment="0" applyProtection="0">
      <alignment horizontal="left" indent="1"/>
    </xf>
    <xf numFmtId="0" fontId="55" fillId="83" borderId="0" applyAlignment="0" applyProtection="0">
      <alignment horizontal="left" vertical="center" indent="2"/>
    </xf>
    <xf numFmtId="340" fontId="80" fillId="0" borderId="0" applyFont="0" applyFill="0" applyBorder="0" applyAlignment="0" applyProtection="0"/>
    <xf numFmtId="0" fontId="236" fillId="0" borderId="0">
      <alignment horizontal="center"/>
    </xf>
    <xf numFmtId="15" fontId="236" fillId="0" borderId="0">
      <alignment horizontal="center"/>
    </xf>
    <xf numFmtId="0" fontId="25"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7"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4" fontId="237" fillId="0" borderId="0" applyNumberFormat="0" applyFill="0" applyBorder="0" applyAlignment="0" applyProtection="0"/>
    <xf numFmtId="0" fontId="11" fillId="0" borderId="0" applyNumberFormat="0" applyFont="0" applyFill="0" applyBorder="0" applyAlignment="0" applyProtection="0"/>
    <xf numFmtId="185" fontId="238" fillId="36" borderId="0">
      <alignment horizontal="right"/>
    </xf>
    <xf numFmtId="178" fontId="184" fillId="0" borderId="0"/>
    <xf numFmtId="185" fontId="239" fillId="0" borderId="0"/>
    <xf numFmtId="341" fontId="240" fillId="0" borderId="0"/>
    <xf numFmtId="197" fontId="11" fillId="0" borderId="53" applyNumberFormat="0" applyFont="0" applyFill="0" applyAlignment="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214" fontId="66" fillId="0" borderId="5"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14" fontId="66" fillId="0" borderId="5" applyFill="0"/>
    <xf numFmtId="0" fontId="17" fillId="0" borderId="55"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1" fillId="0" borderId="0" applyNumberFormat="0" applyFont="0" applyFill="0" applyBorder="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7" fillId="0" borderId="55"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7" fillId="0" borderId="56"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4" fontId="241" fillId="0" borderId="56" applyNumberFormat="0" applyFill="0" applyAlignment="0" applyProtection="0"/>
    <xf numFmtId="194" fontId="241" fillId="0" borderId="56" applyNumberFormat="0" applyFill="0" applyAlignment="0" applyProtection="0"/>
    <xf numFmtId="0" fontId="11" fillId="0" borderId="0" applyNumberFormat="0" applyFont="0" applyFill="0" applyBorder="0" applyAlignment="0" applyProtection="0"/>
    <xf numFmtId="37" fontId="66" fillId="0" borderId="57" applyNumberFormat="0" applyFill="0"/>
    <xf numFmtId="316" fontId="94" fillId="0" borderId="58" applyAlignment="0"/>
    <xf numFmtId="317" fontId="94" fillId="0" borderId="58" applyAlignment="0"/>
    <xf numFmtId="178" fontId="53" fillId="0" borderId="58"/>
    <xf numFmtId="342" fontId="56" fillId="0" borderId="0" applyFont="0" applyFill="0" applyBorder="0" applyAlignment="0" applyProtection="0">
      <alignment horizontal="right"/>
    </xf>
    <xf numFmtId="185" fontId="242" fillId="0" borderId="0">
      <alignment horizontal="fill"/>
    </xf>
    <xf numFmtId="37" fontId="55" fillId="45" borderId="0" applyNumberFormat="0" applyBorder="0" applyAlignment="0" applyProtection="0"/>
    <xf numFmtId="37" fontId="55" fillId="0" borderId="0"/>
    <xf numFmtId="37" fontId="55" fillId="46" borderId="0" applyNumberFormat="0" applyBorder="0" applyAlignment="0" applyProtection="0"/>
    <xf numFmtId="3" fontId="134" fillId="0" borderId="33" applyProtection="0"/>
    <xf numFmtId="4" fontId="53" fillId="0" borderId="0">
      <protection locked="0"/>
    </xf>
    <xf numFmtId="343" fontId="194" fillId="46" borderId="10" applyBorder="0">
      <alignment horizontal="right" vertical="center"/>
      <protection locked="0"/>
    </xf>
    <xf numFmtId="185" fontId="11" fillId="0" borderId="0">
      <alignment vertical="top"/>
    </xf>
    <xf numFmtId="185" fontId="243" fillId="0" borderId="0" applyFont="0" applyFill="0" applyBorder="0" applyAlignment="0" applyProtection="0"/>
    <xf numFmtId="249" fontId="119" fillId="0" borderId="0" applyFont="0" applyFill="0" applyBorder="0" applyAlignment="0" applyProtection="0"/>
    <xf numFmtId="344" fontId="119" fillId="0" borderId="0" applyFont="0" applyFill="0" applyBorder="0" applyAlignment="0" applyProtection="0"/>
    <xf numFmtId="345" fontId="119" fillId="0" borderId="0" applyFont="0" applyFill="0" applyBorder="0" applyAlignment="0" applyProtection="0"/>
    <xf numFmtId="208" fontId="55" fillId="0" borderId="0"/>
    <xf numFmtId="185" fontId="244" fillId="0" borderId="0"/>
    <xf numFmtId="346" fontId="11" fillId="0" borderId="0" applyFont="0" applyFill="0" applyBorder="0" applyAlignment="0" applyProtection="0"/>
    <xf numFmtId="257" fontId="11" fillId="0" borderId="0" applyFont="0" applyFill="0" applyBorder="0" applyAlignment="0" applyProtection="0"/>
    <xf numFmtId="0" fontId="245"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45" fillId="0" borderId="0" applyNumberFormat="0" applyFill="0" applyBorder="0" applyAlignment="0" applyProtection="0"/>
    <xf numFmtId="0" fontId="11" fillId="34" borderId="0" applyNumberFormat="0" applyFont="0" applyBorder="0" applyAlignment="0" applyProtection="0"/>
    <xf numFmtId="0" fontId="11" fillId="0" borderId="0"/>
    <xf numFmtId="172" fontId="9" fillId="43" borderId="26">
      <alignment vertical="center"/>
    </xf>
    <xf numFmtId="0" fontId="12" fillId="0" borderId="0"/>
    <xf numFmtId="0" fontId="14" fillId="0" borderId="0"/>
    <xf numFmtId="172" fontId="9" fillId="3" borderId="26">
      <alignment vertical="center"/>
      <protection locked="0"/>
    </xf>
    <xf numFmtId="0" fontId="14" fillId="0" borderId="0"/>
    <xf numFmtId="0" fontId="30" fillId="0" borderId="0"/>
    <xf numFmtId="173" fontId="262" fillId="0" borderId="0" applyFill="0" applyBorder="0">
      <alignment vertical="center"/>
    </xf>
    <xf numFmtId="10" fontId="38" fillId="0" borderId="0" applyFont="0" applyFill="0" applyBorder="0" applyAlignment="0" applyProtection="0">
      <alignment vertical="center"/>
    </xf>
    <xf numFmtId="169" fontId="9" fillId="0" borderId="0" applyFont="0" applyFill="0" applyBorder="0" applyAlignment="0" applyProtection="0"/>
    <xf numFmtId="169" fontId="8" fillId="0" borderId="0" applyFont="0" applyFill="0" applyBorder="0" applyAlignment="0" applyProtection="0"/>
    <xf numFmtId="176" fontId="9" fillId="101" borderId="26">
      <alignment vertical="center"/>
    </xf>
    <xf numFmtId="10" fontId="38" fillId="0" borderId="0" applyFont="0" applyFill="0" applyBorder="0" applyAlignment="0" applyProtection="0">
      <alignment vertical="center"/>
    </xf>
    <xf numFmtId="349" fontId="11" fillId="0" borderId="0"/>
    <xf numFmtId="349" fontId="11" fillId="0" borderId="0"/>
    <xf numFmtId="349" fontId="14" fillId="0" borderId="0"/>
    <xf numFmtId="349" fontId="11" fillId="0" borderId="0"/>
    <xf numFmtId="349" fontId="14" fillId="0" borderId="0"/>
    <xf numFmtId="349" fontId="14"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4" fillId="0" borderId="0"/>
    <xf numFmtId="349" fontId="14" fillId="0" borderId="0"/>
    <xf numFmtId="349" fontId="14" fillId="0" borderId="0"/>
    <xf numFmtId="349" fontId="11" fillId="0" borderId="0"/>
    <xf numFmtId="349" fontId="14" fillId="0" borderId="0"/>
    <xf numFmtId="349" fontId="11" fillId="0" borderId="0"/>
    <xf numFmtId="349" fontId="14" fillId="0" borderId="0"/>
    <xf numFmtId="349" fontId="14" fillId="0" borderId="0"/>
    <xf numFmtId="349" fontId="14"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50" fillId="0" borderId="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11" fillId="0" borderId="0" applyFont="0" applyFill="0" applyBorder="0" applyAlignment="0" applyProtection="0"/>
    <xf numFmtId="349" fontId="50" fillId="0" borderId="0"/>
    <xf numFmtId="349" fontId="11" fillId="0" borderId="0" applyFont="0" applyFill="0" applyBorder="0" applyAlignment="0" applyProtection="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alignment vertical="center"/>
    </xf>
    <xf numFmtId="349" fontId="14" fillId="0" borderId="0"/>
    <xf numFmtId="349" fontId="14" fillId="0" borderId="0"/>
    <xf numFmtId="349" fontId="14" fillId="0" borderId="0"/>
    <xf numFmtId="349" fontId="14" fillId="0" borderId="0"/>
    <xf numFmtId="349" fontId="11" fillId="0" borderId="0">
      <alignment vertical="center"/>
    </xf>
    <xf numFmtId="349" fontId="11" fillId="0" borderId="0">
      <alignment vertical="center"/>
    </xf>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4" fillId="0" borderId="0"/>
    <xf numFmtId="349" fontId="14" fillId="0" borderId="0"/>
    <xf numFmtId="349" fontId="11" fillId="0" borderId="0"/>
    <xf numFmtId="349" fontId="11" fillId="0" borderId="0"/>
    <xf numFmtId="349" fontId="11" fillId="0" borderId="0"/>
    <xf numFmtId="349" fontId="11" fillId="0" borderId="0"/>
    <xf numFmtId="349" fontId="11" fillId="0" borderId="0"/>
    <xf numFmtId="349" fontId="14" fillId="0" borderId="0">
      <alignment vertical="justify"/>
    </xf>
    <xf numFmtId="349" fontId="20" fillId="30" borderId="0" applyNumberFormat="0" applyBorder="0" applyAlignment="0" applyProtection="0"/>
    <xf numFmtId="349" fontId="20" fillId="30" borderId="0" applyNumberFormat="0" applyBorder="0" applyAlignment="0" applyProtection="0"/>
    <xf numFmtId="349" fontId="20" fillId="19" borderId="0" applyNumberFormat="0" applyBorder="0" applyAlignment="0" applyProtection="0"/>
    <xf numFmtId="349" fontId="20" fillId="19" borderId="0" applyNumberFormat="0" applyBorder="0" applyAlignment="0" applyProtection="0"/>
    <xf numFmtId="349" fontId="20" fillId="27" borderId="0" applyNumberFormat="0" applyBorder="0" applyAlignment="0" applyProtection="0"/>
    <xf numFmtId="349" fontId="20" fillId="27" borderId="0" applyNumberFormat="0" applyBorder="0" applyAlignment="0" applyProtection="0"/>
    <xf numFmtId="349" fontId="20" fillId="118" borderId="0" applyNumberFormat="0" applyBorder="0" applyAlignment="0" applyProtection="0"/>
    <xf numFmtId="349" fontId="20" fillId="118" borderId="0" applyNumberFormat="0" applyBorder="0" applyAlignment="0" applyProtection="0"/>
    <xf numFmtId="349" fontId="20" fillId="30" borderId="0" applyNumberFormat="0" applyBorder="0" applyAlignment="0" applyProtection="0"/>
    <xf numFmtId="349" fontId="20" fillId="30" borderId="0" applyNumberFormat="0" applyBorder="0" applyAlignment="0" applyProtection="0"/>
    <xf numFmtId="349" fontId="20" fillId="60" borderId="0" applyNumberFormat="0" applyBorder="0" applyAlignment="0" applyProtection="0"/>
    <xf numFmtId="349" fontId="20" fillId="60" borderId="0" applyNumberFormat="0" applyBorder="0" applyAlignment="0" applyProtection="0"/>
    <xf numFmtId="349" fontId="20" fillId="61" borderId="0" applyNumberFormat="0" applyBorder="0" applyAlignment="0" applyProtection="0"/>
    <xf numFmtId="349" fontId="20" fillId="61" borderId="0" applyNumberFormat="0" applyBorder="0" applyAlignment="0" applyProtection="0"/>
    <xf numFmtId="349" fontId="20" fillId="19" borderId="0" applyNumberFormat="0" applyBorder="0" applyAlignment="0" applyProtection="0"/>
    <xf numFmtId="349" fontId="20" fillId="19" borderId="0" applyNumberFormat="0" applyBorder="0" applyAlignment="0" applyProtection="0"/>
    <xf numFmtId="349" fontId="20" fillId="26" borderId="0" applyNumberFormat="0" applyBorder="0" applyAlignment="0" applyProtection="0"/>
    <xf numFmtId="349" fontId="20" fillId="26" borderId="0" applyNumberFormat="0" applyBorder="0" applyAlignment="0" applyProtection="0"/>
    <xf numFmtId="349" fontId="20" fillId="119" borderId="0" applyNumberFormat="0" applyBorder="0" applyAlignment="0" applyProtection="0"/>
    <xf numFmtId="349" fontId="20" fillId="119" borderId="0" applyNumberFormat="0" applyBorder="0" applyAlignment="0" applyProtection="0"/>
    <xf numFmtId="349" fontId="20" fillId="31" borderId="0" applyNumberFormat="0" applyBorder="0" applyAlignment="0" applyProtection="0"/>
    <xf numFmtId="349" fontId="20" fillId="31" borderId="0" applyNumberFormat="0" applyBorder="0" applyAlignment="0" applyProtection="0"/>
    <xf numFmtId="349" fontId="20" fillId="60" borderId="0" applyNumberFormat="0" applyBorder="0" applyAlignment="0" applyProtection="0"/>
    <xf numFmtId="349" fontId="20" fillId="60" borderId="0" applyNumberFormat="0" applyBorder="0" applyAlignment="0" applyProtection="0"/>
    <xf numFmtId="349" fontId="63" fillId="120" borderId="0" applyNumberFormat="0" applyBorder="0" applyAlignment="0" applyProtection="0"/>
    <xf numFmtId="349" fontId="63" fillId="120" borderId="0" applyNumberFormat="0" applyBorder="0" applyAlignment="0" applyProtection="0"/>
    <xf numFmtId="349" fontId="63" fillId="19" borderId="0" applyNumberFormat="0" applyBorder="0" applyAlignment="0" applyProtection="0"/>
    <xf numFmtId="349" fontId="63" fillId="19" borderId="0" applyNumberFormat="0" applyBorder="0" applyAlignment="0" applyProtection="0"/>
    <xf numFmtId="349" fontId="63" fillId="26" borderId="0" applyNumberFormat="0" applyBorder="0" applyAlignment="0" applyProtection="0"/>
    <xf numFmtId="349" fontId="63" fillId="26" borderId="0" applyNumberFormat="0" applyBorder="0" applyAlignment="0" applyProtection="0"/>
    <xf numFmtId="349" fontId="63" fillId="119" borderId="0" applyNumberFormat="0" applyBorder="0" applyAlignment="0" applyProtection="0"/>
    <xf numFmtId="349" fontId="63" fillId="119" borderId="0" applyNumberFormat="0" applyBorder="0" applyAlignment="0" applyProtection="0"/>
    <xf numFmtId="349" fontId="63" fillId="120" borderId="0" applyNumberFormat="0" applyBorder="0" applyAlignment="0" applyProtection="0"/>
    <xf numFmtId="349" fontId="63" fillId="120" borderId="0" applyNumberFormat="0" applyBorder="0" applyAlignment="0" applyProtection="0"/>
    <xf numFmtId="349" fontId="63" fillId="23" borderId="0" applyNumberFormat="0" applyBorder="0" applyAlignment="0" applyProtection="0"/>
    <xf numFmtId="349" fontId="63" fillId="23" borderId="0" applyNumberFormat="0" applyBorder="0" applyAlignment="0" applyProtection="0"/>
    <xf numFmtId="349" fontId="15" fillId="65" borderId="0" applyNumberFormat="0" applyBorder="0" applyAlignment="0" applyProtection="0"/>
    <xf numFmtId="349" fontId="15" fillId="12" borderId="0" applyNumberFormat="0" applyBorder="0" applyAlignment="0" applyProtection="0"/>
    <xf numFmtId="349" fontId="16" fillId="121" borderId="0" applyNumberFormat="0" applyBorder="0" applyAlignment="0" applyProtection="0"/>
    <xf numFmtId="349" fontId="16" fillId="66" borderId="0" applyNumberFormat="0" applyBorder="0" applyAlignment="0" applyProtection="0"/>
    <xf numFmtId="349" fontId="16" fillId="66" borderId="0" applyNumberFormat="0" applyBorder="0" applyAlignment="0" applyProtection="0"/>
    <xf numFmtId="349" fontId="15" fillId="68" borderId="0" applyNumberFormat="0" applyBorder="0" applyAlignment="0" applyProtection="0"/>
    <xf numFmtId="349" fontId="15" fillId="11" borderId="0" applyNumberFormat="0" applyBorder="0" applyAlignment="0" applyProtection="0"/>
    <xf numFmtId="349" fontId="16" fillId="8" borderId="0" applyNumberFormat="0" applyBorder="0" applyAlignment="0" applyProtection="0"/>
    <xf numFmtId="349" fontId="16" fillId="69" borderId="0" applyNumberFormat="0" applyBorder="0" applyAlignment="0" applyProtection="0"/>
    <xf numFmtId="349" fontId="16" fillId="69" borderId="0" applyNumberFormat="0" applyBorder="0" applyAlignment="0" applyProtection="0"/>
    <xf numFmtId="349" fontId="15" fillId="70" borderId="0" applyNumberFormat="0" applyBorder="0" applyAlignment="0" applyProtection="0"/>
    <xf numFmtId="349" fontId="15" fillId="71" borderId="0" applyNumberFormat="0" applyBorder="0" applyAlignment="0" applyProtection="0"/>
    <xf numFmtId="349" fontId="16" fillId="122" borderId="0" applyNumberFormat="0" applyBorder="0" applyAlignment="0" applyProtection="0"/>
    <xf numFmtId="349" fontId="16" fillId="123" borderId="0" applyNumberFormat="0" applyBorder="0" applyAlignment="0" applyProtection="0"/>
    <xf numFmtId="349" fontId="16" fillId="123" borderId="0" applyNumberFormat="0" applyBorder="0" applyAlignment="0" applyProtection="0"/>
    <xf numFmtId="349" fontId="15" fillId="68" borderId="0" applyNumberFormat="0" applyBorder="0" applyAlignment="0" applyProtection="0"/>
    <xf numFmtId="349" fontId="15" fillId="9" borderId="0" applyNumberFormat="0" applyBorder="0" applyAlignment="0" applyProtection="0"/>
    <xf numFmtId="349" fontId="16" fillId="11" borderId="0" applyNumberFormat="0" applyBorder="0" applyAlignment="0" applyProtection="0"/>
    <xf numFmtId="349" fontId="16" fillId="124" borderId="0" applyNumberFormat="0" applyBorder="0" applyAlignment="0" applyProtection="0"/>
    <xf numFmtId="349" fontId="16" fillId="124" borderId="0" applyNumberFormat="0" applyBorder="0" applyAlignment="0" applyProtection="0"/>
    <xf numFmtId="349" fontId="15" fillId="10" borderId="0" applyNumberFormat="0" applyBorder="0" applyAlignment="0" applyProtection="0"/>
    <xf numFmtId="349" fontId="15" fillId="5" borderId="0" applyNumberFormat="0" applyBorder="0" applyAlignment="0" applyProtection="0"/>
    <xf numFmtId="349" fontId="16" fillId="121" borderId="0" applyNumberFormat="0" applyBorder="0" applyAlignment="0" applyProtection="0"/>
    <xf numFmtId="349" fontId="16" fillId="121" borderId="0" applyNumberFormat="0" applyBorder="0" applyAlignment="0" applyProtection="0"/>
    <xf numFmtId="349" fontId="16" fillId="121" borderId="0" applyNumberFormat="0" applyBorder="0" applyAlignment="0" applyProtection="0"/>
    <xf numFmtId="349" fontId="15" fillId="13" borderId="0" applyNumberFormat="0" applyBorder="0" applyAlignment="0" applyProtection="0"/>
    <xf numFmtId="349" fontId="15" fillId="14" borderId="0" applyNumberFormat="0" applyBorder="0" applyAlignment="0" applyProtection="0"/>
    <xf numFmtId="349" fontId="16" fillId="125" borderId="0" applyNumberFormat="0" applyBorder="0" applyAlignment="0" applyProtection="0"/>
    <xf numFmtId="349" fontId="16" fillId="126" borderId="0" applyNumberFormat="0" applyBorder="0" applyAlignment="0" applyProtection="0"/>
    <xf numFmtId="349" fontId="16" fillId="126" borderId="0" applyNumberFormat="0" applyBorder="0" applyAlignment="0" applyProtection="0"/>
    <xf numFmtId="349" fontId="263" fillId="13" borderId="0" applyNumberFormat="0" applyBorder="0" applyAlignment="0" applyProtection="0"/>
    <xf numFmtId="349" fontId="263" fillId="13" borderId="0" applyNumberFormat="0" applyBorder="0" applyAlignment="0" applyProtection="0"/>
    <xf numFmtId="349" fontId="264" fillId="127" borderId="122" applyNumberFormat="0" applyAlignment="0" applyProtection="0"/>
    <xf numFmtId="349" fontId="264" fillId="127" borderId="122" applyNumberFormat="0" applyAlignment="0" applyProtection="0"/>
    <xf numFmtId="349" fontId="92" fillId="124" borderId="15" applyNumberFormat="0" applyAlignment="0" applyProtection="0"/>
    <xf numFmtId="349" fontId="92" fillId="124" borderId="15" applyNumberFormat="0" applyAlignment="0" applyProtection="0"/>
    <xf numFmtId="37" fontId="66" fillId="0" borderId="88">
      <alignment horizontal="center"/>
    </xf>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349" fontId="11" fillId="0" borderId="0" applyNumberFormat="0" applyFont="0" applyBorder="0" applyAlignment="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349" fontId="17" fillId="128" borderId="0" applyNumberFormat="0" applyBorder="0" applyAlignment="0" applyProtection="0"/>
    <xf numFmtId="349" fontId="17" fillId="129" borderId="0" applyNumberFormat="0" applyBorder="0" applyAlignment="0" applyProtection="0"/>
    <xf numFmtId="349" fontId="17" fillId="17" borderId="0" applyNumberFormat="0" applyBorder="0" applyAlignment="0" applyProtection="0"/>
    <xf numFmtId="349" fontId="51" fillId="0" borderId="0" applyFont="0" applyFill="0" applyBorder="0" applyAlignment="0" applyProtection="0"/>
    <xf numFmtId="349" fontId="265" fillId="0" borderId="0" applyNumberFormat="0" applyFill="0" applyBorder="0" applyAlignment="0" applyProtection="0"/>
    <xf numFmtId="349" fontId="265" fillId="0" borderId="0" applyNumberFormat="0" applyFill="0" applyBorder="0" applyAlignment="0" applyProtection="0"/>
    <xf numFmtId="349" fontId="15" fillId="71" borderId="0" applyNumberFormat="0" applyBorder="0" applyAlignment="0" applyProtection="0"/>
    <xf numFmtId="349" fontId="15" fillId="71" borderId="0" applyNumberForma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1" fillId="61" borderId="0" applyNumberFormat="0" applyFont="0" applyBorder="0" applyAlignment="0" applyProtection="0"/>
    <xf numFmtId="349" fontId="124" fillId="0" borderId="29" applyNumberFormat="0" applyFill="0" applyAlignment="0" applyProtection="0"/>
    <xf numFmtId="349" fontId="124" fillId="0" borderId="29" applyNumberFormat="0" applyFill="0" applyAlignment="0" applyProtection="0"/>
    <xf numFmtId="349" fontId="127" fillId="0" borderId="123" applyNumberFormat="0" applyFill="0" applyAlignment="0" applyProtection="0"/>
    <xf numFmtId="349" fontId="127" fillId="0" borderId="123" applyNumberFormat="0" applyFill="0" applyAlignment="0" applyProtection="0"/>
    <xf numFmtId="349" fontId="130" fillId="0" borderId="124" applyNumberFormat="0" applyFill="0" applyAlignment="0" applyProtection="0"/>
    <xf numFmtId="349" fontId="130" fillId="0" borderId="124" applyNumberFormat="0" applyFill="0" applyAlignment="0" applyProtection="0"/>
    <xf numFmtId="349" fontId="130" fillId="0" borderId="0" applyNumberFormat="0" applyFill="0" applyBorder="0" applyAlignment="0" applyProtection="0"/>
    <xf numFmtId="349" fontId="130" fillId="0" borderId="0" applyNumberFormat="0" applyFill="0" applyBorder="0" applyAlignment="0" applyProtection="0"/>
    <xf numFmtId="349" fontId="144" fillId="14" borderId="122" applyNumberFormat="0" applyAlignment="0" applyProtection="0"/>
    <xf numFmtId="349" fontId="144" fillId="14" borderId="122" applyNumberFormat="0" applyAlignment="0" applyProtection="0"/>
    <xf numFmtId="349" fontId="147" fillId="34" borderId="0"/>
    <xf numFmtId="349" fontId="120" fillId="0" borderId="125" applyNumberFormat="0" applyFill="0" applyAlignment="0" applyProtection="0"/>
    <xf numFmtId="349" fontId="120" fillId="0" borderId="125" applyNumberFormat="0" applyFill="0" applyAlignment="0" applyProtection="0"/>
    <xf numFmtId="349" fontId="120" fillId="14" borderId="0" applyNumberFormat="0" applyBorder="0" applyAlignment="0" applyProtection="0"/>
    <xf numFmtId="349" fontId="120" fillId="14" borderId="0" applyNumberFormat="0" applyBorder="0" applyAlignment="0" applyProtection="0"/>
    <xf numFmtId="349" fontId="26" fillId="0" borderId="0"/>
    <xf numFmtId="349" fontId="26" fillId="0" borderId="0"/>
    <xf numFmtId="349" fontId="26" fillId="0" borderId="0"/>
    <xf numFmtId="349" fontId="26" fillId="0" borderId="0"/>
    <xf numFmtId="349" fontId="26" fillId="0" borderId="0"/>
    <xf numFmtId="349" fontId="11" fillId="0" borderId="0"/>
    <xf numFmtId="349" fontId="11" fillId="0" borderId="0"/>
    <xf numFmtId="349" fontId="11" fillId="0" borderId="0"/>
    <xf numFmtId="349" fontId="11" fillId="0" borderId="0"/>
    <xf numFmtId="0" fontId="9" fillId="0" borderId="0"/>
    <xf numFmtId="349" fontId="15" fillId="0" borderId="0" applyFill="0" applyBorder="0" applyAlignment="0" applyProtection="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15" fillId="0" borderId="0"/>
    <xf numFmtId="349" fontId="15" fillId="0" borderId="0" applyFill="0" applyBorder="0" applyAlignment="0" applyProtection="0"/>
    <xf numFmtId="349" fontId="11"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1" fillId="0" borderId="0"/>
    <xf numFmtId="349" fontId="11" fillId="0" borderId="0"/>
    <xf numFmtId="349" fontId="11" fillId="0" borderId="0"/>
    <xf numFmtId="349" fontId="11" fillId="0" borderId="0"/>
    <xf numFmtId="349" fontId="11" fillId="0" borderId="0"/>
    <xf numFmtId="349" fontId="15" fillId="0" borderId="0" applyFill="0" applyBorder="0" applyAlignment="0" applyProtection="0"/>
    <xf numFmtId="349" fontId="15" fillId="0" borderId="0" applyFill="0" applyBorder="0" applyAlignment="0" applyProtection="0"/>
    <xf numFmtId="349" fontId="11" fillId="0" borderId="0"/>
    <xf numFmtId="349" fontId="11" fillId="0" borderId="0"/>
    <xf numFmtId="349" fontId="11" fillId="0" borderId="0"/>
    <xf numFmtId="349" fontId="11" fillId="0" borderId="0"/>
    <xf numFmtId="349" fontId="11" fillId="0" borderId="0"/>
    <xf numFmtId="349" fontId="11"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1" fillId="0" borderId="0"/>
    <xf numFmtId="349" fontId="11" fillId="0" borderId="0"/>
    <xf numFmtId="349" fontId="11" fillId="0" borderId="0"/>
    <xf numFmtId="349" fontId="11" fillId="0" borderId="0"/>
    <xf numFmtId="349" fontId="11" fillId="0" borderId="0"/>
    <xf numFmtId="349" fontId="11" fillId="0" borderId="0"/>
    <xf numFmtId="349" fontId="11" fillId="0" borderId="0"/>
    <xf numFmtId="349" fontId="9"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1" fillId="0" borderId="0"/>
    <xf numFmtId="349" fontId="11" fillId="0" borderId="0"/>
    <xf numFmtId="349" fontId="11" fillId="0" borderId="0"/>
    <xf numFmtId="349" fontId="30" fillId="0" borderId="0"/>
    <xf numFmtId="349" fontId="8" fillId="0" borderId="0"/>
    <xf numFmtId="349" fontId="11"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11" fillId="0" borderId="0"/>
    <xf numFmtId="349" fontId="11" fillId="0" borderId="0"/>
    <xf numFmtId="349" fontId="11" fillId="0" borderId="0"/>
    <xf numFmtId="349" fontId="11"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8"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8" fillId="0" borderId="0"/>
    <xf numFmtId="349" fontId="8"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1" fillId="0" borderId="0"/>
    <xf numFmtId="349" fontId="15" fillId="0" borderId="0" applyFill="0" applyBorder="0" applyAlignment="0" applyProtection="0"/>
    <xf numFmtId="349" fontId="26"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applyFill="0" applyBorder="0" applyAlignment="0" applyProtection="0"/>
    <xf numFmtId="349" fontId="15" fillId="0" borderId="0"/>
    <xf numFmtId="349" fontId="15" fillId="0" borderId="0"/>
    <xf numFmtId="349" fontId="15" fillId="0" borderId="0"/>
    <xf numFmtId="349" fontId="15" fillId="0" borderId="0"/>
    <xf numFmtId="349" fontId="15" fillId="0" borderId="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applyFill="0" applyBorder="0" applyAlignment="0" applyProtection="0"/>
    <xf numFmtId="349" fontId="15" fillId="0" borderId="0"/>
    <xf numFmtId="349" fontId="15" fillId="0" borderId="0"/>
    <xf numFmtId="349" fontId="14" fillId="0" borderId="0">
      <alignment vertical="top"/>
    </xf>
    <xf numFmtId="349" fontId="108" fillId="0" borderId="0" applyFill="0" applyBorder="0">
      <protection locked="0"/>
    </xf>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86" fillId="127" borderId="126" applyNumberFormat="0" applyAlignment="0" applyProtection="0"/>
    <xf numFmtId="349" fontId="186" fillId="127" borderId="126"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330" fontId="26" fillId="90" borderId="26">
      <alignment vertical="center"/>
    </xf>
    <xf numFmtId="172" fontId="26" fillId="90" borderId="26">
      <alignment vertical="center"/>
    </xf>
    <xf numFmtId="172" fontId="26" fillId="90" borderId="26">
      <alignment vertical="center"/>
    </xf>
    <xf numFmtId="349" fontId="26" fillId="90" borderId="26">
      <alignment vertical="center"/>
    </xf>
    <xf numFmtId="349" fontId="26" fillId="90" borderId="26">
      <alignment vertical="center"/>
    </xf>
    <xf numFmtId="349" fontId="26" fillId="90" borderId="26">
      <alignment vertical="center"/>
    </xf>
    <xf numFmtId="349" fontId="26" fillId="90" borderId="26">
      <alignment vertical="center"/>
    </xf>
    <xf numFmtId="176" fontId="26" fillId="90" borderId="26">
      <alignment vertical="center"/>
    </xf>
    <xf numFmtId="176" fontId="26" fillId="90" borderId="26">
      <alignment vertical="center"/>
    </xf>
    <xf numFmtId="330" fontId="26" fillId="90" borderId="26">
      <alignment vertical="center"/>
    </xf>
    <xf numFmtId="349" fontId="199" fillId="0" borderId="0"/>
    <xf numFmtId="349" fontId="26" fillId="36" borderId="26">
      <alignment vertical="center"/>
      <protection locked="0"/>
    </xf>
    <xf numFmtId="349" fontId="26" fillId="36" borderId="26">
      <alignment vertical="center"/>
      <protection locked="0"/>
    </xf>
    <xf numFmtId="349" fontId="26" fillId="36" borderId="26">
      <alignment vertical="center"/>
      <protection locked="0"/>
    </xf>
    <xf numFmtId="349" fontId="26" fillId="36" borderId="26">
      <alignment vertical="center"/>
      <protection locked="0"/>
    </xf>
    <xf numFmtId="330" fontId="26" fillId="38" borderId="26">
      <alignment vertical="center"/>
    </xf>
    <xf numFmtId="349" fontId="26" fillId="38" borderId="26">
      <alignment vertical="center"/>
    </xf>
    <xf numFmtId="349" fontId="26" fillId="38" borderId="26">
      <alignment vertical="center"/>
    </xf>
    <xf numFmtId="349" fontId="26" fillId="38" borderId="26">
      <alignment vertical="center"/>
    </xf>
    <xf numFmtId="349" fontId="26" fillId="38" borderId="26">
      <alignment vertical="center"/>
    </xf>
    <xf numFmtId="349" fontId="26" fillId="39" borderId="26">
      <alignment horizontal="right" vertical="center"/>
      <protection locked="0"/>
    </xf>
    <xf numFmtId="349" fontId="26" fillId="39" borderId="26">
      <alignment horizontal="right" vertical="center"/>
      <protection locked="0"/>
    </xf>
    <xf numFmtId="330" fontId="26" fillId="39" borderId="26">
      <alignment horizontal="right" vertical="center"/>
      <protection locked="0"/>
    </xf>
    <xf numFmtId="330" fontId="26" fillId="39" borderId="26">
      <alignment horizontal="right" vertical="center"/>
      <protection locked="0"/>
    </xf>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349" fontId="267" fillId="18" borderId="127" applyNumberFormat="0" applyProtection="0">
      <alignment horizontal="left" vertical="top"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2" borderId="128" applyNumberFormat="0" applyProtection="0">
      <alignment horizontal="right" vertical="center"/>
    </xf>
    <xf numFmtId="4" fontId="55" fillId="23" borderId="122" applyNumberFormat="0" applyProtection="0">
      <alignment horizontal="right" vertical="center"/>
    </xf>
    <xf numFmtId="4" fontId="55" fillId="24" borderId="122" applyNumberFormat="0" applyProtection="0">
      <alignment horizontal="right" vertical="center"/>
    </xf>
    <xf numFmtId="4" fontId="55" fillId="25" borderId="122" applyNumberFormat="0" applyProtection="0">
      <alignment horizontal="right" vertical="center"/>
    </xf>
    <xf numFmtId="4" fontId="55" fillId="26"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29" borderId="128" applyNumberFormat="0" applyProtection="0">
      <alignment horizontal="left" vertical="center" indent="1"/>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19" borderId="122" applyNumberFormat="0" applyProtection="0">
      <alignment horizontal="right" vertical="center"/>
    </xf>
    <xf numFmtId="4" fontId="55" fillId="30" borderId="128" applyNumberFormat="0" applyProtection="0">
      <alignment horizontal="left" vertical="center" indent="1"/>
    </xf>
    <xf numFmtId="4" fontId="55" fillId="19" borderId="128" applyNumberFormat="0" applyProtection="0">
      <alignment horizontal="left" vertical="center" indent="1"/>
    </xf>
    <xf numFmtId="349" fontId="55" fillId="61" borderId="122"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11" fillId="30" borderId="127" applyNumberFormat="0" applyProtection="0">
      <alignment horizontal="left" vertical="center"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3" borderId="49" applyNumberFormat="0">
      <protection locked="0"/>
    </xf>
    <xf numFmtId="349" fontId="11" fillId="33" borderId="26"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95" fillId="31" borderId="129" applyBorder="0"/>
    <xf numFmtId="4" fontId="268" fillId="34" borderId="127" applyNumberFormat="0" applyProtection="0">
      <alignment vertical="center"/>
    </xf>
    <xf numFmtId="4" fontId="266" fillId="36" borderId="26" applyNumberFormat="0" applyProtection="0">
      <alignment vertical="center"/>
    </xf>
    <xf numFmtId="4" fontId="268" fillId="61" borderId="127" applyNumberFormat="0" applyProtection="0">
      <alignment horizontal="left" vertical="center" indent="1"/>
    </xf>
    <xf numFmtId="349" fontId="268" fillId="34" borderId="127" applyNumberFormat="0" applyProtection="0">
      <alignment horizontal="left" vertical="top" indent="1"/>
    </xf>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349" fontId="55" fillId="109" borderId="26"/>
    <xf numFmtId="4" fontId="270" fillId="33" borderId="122" applyNumberFormat="0" applyProtection="0">
      <alignment horizontal="right" vertical="center"/>
    </xf>
    <xf numFmtId="349" fontId="25" fillId="0" borderId="0" applyNumberFormat="0" applyFill="0" applyBorder="0" applyAlignment="0" applyProtection="0"/>
    <xf numFmtId="349" fontId="11" fillId="0" borderId="0" applyFont="0" applyFill="0" applyBorder="0" applyAlignment="0" applyProtection="0"/>
    <xf numFmtId="37" fontId="66" fillId="0" borderId="130" applyNumberFormat="0"/>
    <xf numFmtId="349" fontId="227" fillId="0" borderId="54" applyNumberFormat="0" applyAlignment="0" applyProtection="0"/>
    <xf numFmtId="349" fontId="25" fillId="0" borderId="0" applyNumberFormat="0" applyFill="0" applyBorder="0" applyAlignment="0" applyProtection="0"/>
    <xf numFmtId="349" fontId="25" fillId="0" borderId="0" applyNumberFormat="0" applyFill="0" applyBorder="0" applyAlignment="0" applyProtection="0"/>
    <xf numFmtId="214" fontId="66" fillId="0" borderId="28" applyFill="0"/>
    <xf numFmtId="349" fontId="17" fillId="0" borderId="131" applyNumberFormat="0" applyFill="0" applyAlignment="0" applyProtection="0"/>
    <xf numFmtId="349" fontId="17" fillId="0" borderId="131" applyNumberFormat="0" applyFill="0" applyAlignment="0" applyProtection="0"/>
    <xf numFmtId="349" fontId="271" fillId="0" borderId="0" applyNumberFormat="0" applyFill="0" applyBorder="0" applyAlignment="0" applyProtection="0"/>
    <xf numFmtId="349" fontId="271" fillId="0" borderId="0" applyNumberFormat="0" applyFill="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349" fontId="11" fillId="34" borderId="0" applyNumberFormat="0" applyFont="0" applyBorder="0" applyAlignment="0" applyProtection="0"/>
    <xf numFmtId="0" fontId="14" fillId="0" borderId="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2" fontId="9" fillId="101" borderId="26">
      <alignment vertical="center"/>
    </xf>
    <xf numFmtId="176" fontId="9" fillId="101" borderId="26">
      <alignment vertical="center"/>
    </xf>
    <xf numFmtId="330" fontId="9" fillId="101" borderId="26">
      <alignment vertical="center"/>
    </xf>
    <xf numFmtId="330" fontId="9" fillId="43" borderId="26">
      <alignment vertical="center"/>
    </xf>
    <xf numFmtId="330" fontId="9" fillId="44" borderId="26">
      <alignment horizontal="right" vertical="center"/>
      <protection locked="0"/>
    </xf>
    <xf numFmtId="0" fontId="14" fillId="0" borderId="0"/>
    <xf numFmtId="0" fontId="14" fillId="0" borderId="0"/>
    <xf numFmtId="0" fontId="14" fillId="0" borderId="0"/>
    <xf numFmtId="0" fontId="14" fillId="0" borderId="0"/>
    <xf numFmtId="0" fontId="14" fillId="0" borderId="0"/>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349" fontId="55" fillId="33" borderId="49" applyNumberFormat="0">
      <protection locked="0"/>
    </xf>
    <xf numFmtId="214" fontId="66" fillId="0" borderId="28" applyFill="0"/>
    <xf numFmtId="0" fontId="14" fillId="0" borderId="0"/>
    <xf numFmtId="0" fontId="14" fillId="0" borderId="0"/>
    <xf numFmtId="169" fontId="9" fillId="0" borderId="0" applyFont="0" applyFill="0" applyBorder="0" applyAlignment="0" applyProtection="0"/>
    <xf numFmtId="0" fontId="14" fillId="0" borderId="0"/>
    <xf numFmtId="349" fontId="55" fillId="30" borderId="127" applyNumberFormat="0" applyProtection="0">
      <alignment horizontal="left" vertical="top" indent="1"/>
    </xf>
    <xf numFmtId="349" fontId="55" fillId="30" borderId="122"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32" borderId="122"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264" fillId="127" borderId="122" applyNumberFormat="0" applyAlignment="0" applyProtection="0"/>
    <xf numFmtId="349" fontId="264" fillId="127"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30" fillId="0" borderId="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86" fillId="127" borderId="126" applyNumberFormat="0" applyAlignment="0" applyProtection="0"/>
    <xf numFmtId="349" fontId="186" fillId="127" borderId="126" applyNumberFormat="0" applyAlignment="0" applyProtection="0"/>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5"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19" borderId="122" applyNumberFormat="0" applyProtection="0">
      <alignment horizontal="right" vertical="center"/>
    </xf>
    <xf numFmtId="349" fontId="55" fillId="61" borderId="122" applyNumberFormat="0" applyProtection="0">
      <alignment horizontal="left" vertical="center" indent="1"/>
    </xf>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349" fontId="267" fillId="18" borderId="127" applyNumberFormat="0" applyProtection="0">
      <alignment horizontal="left" vertical="top"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2" borderId="128" applyNumberFormat="0" applyProtection="0">
      <alignment horizontal="right" vertical="center"/>
    </xf>
    <xf numFmtId="4" fontId="55" fillId="23" borderId="122" applyNumberFormat="0" applyProtection="0">
      <alignment horizontal="right" vertical="center"/>
    </xf>
    <xf numFmtId="4" fontId="55" fillId="24" borderId="122" applyNumberFormat="0" applyProtection="0">
      <alignment horizontal="right" vertical="center"/>
    </xf>
    <xf numFmtId="4" fontId="55" fillId="25" borderId="122" applyNumberFormat="0" applyProtection="0">
      <alignment horizontal="right" vertical="center"/>
    </xf>
    <xf numFmtId="4" fontId="55" fillId="26"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29" borderId="128" applyNumberFormat="0" applyProtection="0">
      <alignment horizontal="left" vertical="center" indent="1"/>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19" borderId="122" applyNumberFormat="0" applyProtection="0">
      <alignment horizontal="right" vertical="center"/>
    </xf>
    <xf numFmtId="4" fontId="55" fillId="30" borderId="128" applyNumberFormat="0" applyProtection="0">
      <alignment horizontal="left" vertical="center" indent="1"/>
    </xf>
    <xf numFmtId="4" fontId="55" fillId="19" borderId="128" applyNumberFormat="0" applyProtection="0">
      <alignment horizontal="left" vertical="center" indent="1"/>
    </xf>
    <xf numFmtId="349" fontId="55" fillId="61" borderId="122"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11" fillId="30" borderId="127" applyNumberFormat="0" applyProtection="0">
      <alignment horizontal="left" vertical="center"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2" borderId="122" applyNumberFormat="0" applyProtection="0">
      <alignment horizontal="left" vertical="center" indent="1"/>
    </xf>
    <xf numFmtId="349" fontId="95" fillId="31" borderId="129" applyBorder="0"/>
    <xf numFmtId="4" fontId="268" fillId="34" borderId="127" applyNumberFormat="0" applyProtection="0">
      <alignment vertical="center"/>
    </xf>
    <xf numFmtId="4" fontId="268" fillId="61" borderId="127" applyNumberFormat="0" applyProtection="0">
      <alignment horizontal="left" vertical="center" indent="1"/>
    </xf>
    <xf numFmtId="349" fontId="268" fillId="34" borderId="127" applyNumberFormat="0" applyProtection="0">
      <alignment horizontal="left" vertical="top" indent="1"/>
    </xf>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4" fontId="270" fillId="33" borderId="122" applyNumberFormat="0" applyProtection="0">
      <alignment horizontal="right" vertical="center"/>
    </xf>
    <xf numFmtId="37" fontId="66" fillId="0" borderId="130" applyNumberFormat="0"/>
    <xf numFmtId="349" fontId="17" fillId="0" borderId="131" applyNumberFormat="0" applyFill="0" applyAlignment="0" applyProtection="0"/>
    <xf numFmtId="349" fontId="17" fillId="0" borderId="131" applyNumberFormat="0" applyFill="0" applyAlignment="0" applyProtection="0"/>
    <xf numFmtId="349" fontId="11" fillId="30" borderId="127" applyNumberFormat="0" applyProtection="0">
      <alignment horizontal="left" vertical="center"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264" fillId="127" borderId="122" applyNumberFormat="0" applyAlignment="0" applyProtection="0"/>
    <xf numFmtId="349" fontId="264" fillId="127" borderId="122" applyNumberFormat="0" applyAlignment="0" applyProtection="0"/>
    <xf numFmtId="4" fontId="55" fillId="23" borderId="122" applyNumberFormat="0" applyProtection="0">
      <alignment horizontal="right" vertical="center"/>
    </xf>
    <xf numFmtId="4" fontId="55" fillId="24" borderId="122" applyNumberFormat="0" applyProtection="0">
      <alignment horizontal="right" vertical="center"/>
    </xf>
    <xf numFmtId="349" fontId="55" fillId="83" borderId="122" applyNumberFormat="0" applyProtection="0">
      <alignment horizontal="left" vertical="center" indent="1"/>
    </xf>
    <xf numFmtId="214" fontId="66" fillId="0" borderId="28" applyFill="0"/>
    <xf numFmtId="4" fontId="55" fillId="26" borderId="122" applyNumberFormat="0" applyProtection="0">
      <alignment horizontal="right" vertical="center"/>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95" fillId="31" borderId="129" applyBorder="0"/>
    <xf numFmtId="4" fontId="268" fillId="34" borderId="127" applyNumberFormat="0" applyProtection="0">
      <alignment vertical="center"/>
    </xf>
    <xf numFmtId="4" fontId="268" fillId="61" borderId="127" applyNumberFormat="0" applyProtection="0">
      <alignment horizontal="left" vertical="center" indent="1"/>
    </xf>
    <xf numFmtId="349" fontId="268" fillId="34" borderId="127" applyNumberFormat="0" applyProtection="0">
      <alignment horizontal="left" vertical="top" indent="1"/>
    </xf>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4" fontId="270" fillId="33" borderId="122" applyNumberFormat="0" applyProtection="0">
      <alignment horizontal="right" vertical="center"/>
    </xf>
    <xf numFmtId="37" fontId="66" fillId="0" borderId="130" applyNumberFormat="0"/>
    <xf numFmtId="349" fontId="17" fillId="0" borderId="131" applyNumberFormat="0" applyFill="0" applyAlignment="0" applyProtection="0"/>
    <xf numFmtId="349" fontId="17" fillId="0" borderId="131" applyNumberFormat="0" applyFill="0" applyAlignment="0" applyProtection="0"/>
    <xf numFmtId="349" fontId="55" fillId="30" borderId="122" applyNumberFormat="0" applyProtection="0">
      <alignment horizontal="left" vertical="center" indent="1"/>
    </xf>
    <xf numFmtId="349" fontId="264" fillId="127" borderId="122" applyNumberFormat="0" applyAlignment="0" applyProtection="0"/>
    <xf numFmtId="349" fontId="264" fillId="127" borderId="122" applyNumberFormat="0" applyAlignment="0" applyProtection="0"/>
    <xf numFmtId="214" fontId="66" fillId="0" borderId="28" applyFill="0"/>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4" fontId="270" fillId="33" borderId="122" applyNumberFormat="0" applyProtection="0">
      <alignment horizontal="right" vertical="center"/>
    </xf>
    <xf numFmtId="349" fontId="264" fillId="127" borderId="122" applyNumberFormat="0" applyAlignment="0" applyProtection="0"/>
    <xf numFmtId="349" fontId="264" fillId="127"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30" fillId="0" borderId="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86" fillId="127" borderId="126" applyNumberFormat="0" applyAlignment="0" applyProtection="0"/>
    <xf numFmtId="349" fontId="186" fillId="127" borderId="126" applyNumberFormat="0" applyAlignment="0" applyProtection="0"/>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349" fontId="267" fillId="18" borderId="127" applyNumberFormat="0" applyProtection="0">
      <alignment horizontal="left" vertical="top"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2" borderId="128" applyNumberFormat="0" applyProtection="0">
      <alignment horizontal="right" vertical="center"/>
    </xf>
    <xf numFmtId="4" fontId="55" fillId="23" borderId="122" applyNumberFormat="0" applyProtection="0">
      <alignment horizontal="right" vertical="center"/>
    </xf>
    <xf numFmtId="4" fontId="55" fillId="24" borderId="122" applyNumberFormat="0" applyProtection="0">
      <alignment horizontal="right" vertical="center"/>
    </xf>
    <xf numFmtId="4" fontId="55" fillId="25" borderId="122" applyNumberFormat="0" applyProtection="0">
      <alignment horizontal="right" vertical="center"/>
    </xf>
    <xf numFmtId="4" fontId="55" fillId="26"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29" borderId="128" applyNumberFormat="0" applyProtection="0">
      <alignment horizontal="left" vertical="center" indent="1"/>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19" borderId="122" applyNumberFormat="0" applyProtection="0">
      <alignment horizontal="right" vertical="center"/>
    </xf>
    <xf numFmtId="4" fontId="55" fillId="30" borderId="128" applyNumberFormat="0" applyProtection="0">
      <alignment horizontal="left" vertical="center" indent="1"/>
    </xf>
    <xf numFmtId="4" fontId="55" fillId="19" borderId="128" applyNumberFormat="0" applyProtection="0">
      <alignment horizontal="left" vertical="center" indent="1"/>
    </xf>
    <xf numFmtId="349" fontId="55" fillId="61" borderId="122"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11" fillId="30" borderId="127" applyNumberFormat="0" applyProtection="0">
      <alignment horizontal="left" vertical="center"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95" fillId="31" borderId="129" applyBorder="0"/>
    <xf numFmtId="4" fontId="268" fillId="34" borderId="127" applyNumberFormat="0" applyProtection="0">
      <alignment vertical="center"/>
    </xf>
    <xf numFmtId="4" fontId="268" fillId="61" borderId="127" applyNumberFormat="0" applyProtection="0">
      <alignment horizontal="left" vertical="center" indent="1"/>
    </xf>
    <xf numFmtId="349" fontId="268" fillId="34" borderId="127" applyNumberFormat="0" applyProtection="0">
      <alignment horizontal="left" vertical="top" indent="1"/>
    </xf>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4" fontId="270" fillId="33" borderId="122" applyNumberFormat="0" applyProtection="0">
      <alignment horizontal="right" vertical="center"/>
    </xf>
    <xf numFmtId="37" fontId="66" fillId="0" borderId="130" applyNumberFormat="0"/>
    <xf numFmtId="349" fontId="17" fillId="0" borderId="131" applyNumberFormat="0" applyFill="0" applyAlignment="0" applyProtection="0"/>
    <xf numFmtId="349" fontId="17" fillId="0" borderId="131" applyNumberFormat="0" applyFill="0" applyAlignment="0" applyProtection="0"/>
    <xf numFmtId="214" fontId="66" fillId="0" borderId="28" applyFill="0"/>
    <xf numFmtId="349" fontId="30" fillId="0" borderId="0"/>
    <xf numFmtId="349" fontId="55" fillId="30" borderId="127" applyNumberFormat="0" applyProtection="0">
      <alignment horizontal="left" vertical="top" indent="1"/>
    </xf>
    <xf numFmtId="349" fontId="55" fillId="30" borderId="122"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32" borderId="122"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264" fillId="127" borderId="122" applyNumberFormat="0" applyAlignment="0" applyProtection="0"/>
    <xf numFmtId="349" fontId="264" fillId="127"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30" fillId="0" borderId="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86" fillId="127" borderId="126" applyNumberFormat="0" applyAlignment="0" applyProtection="0"/>
    <xf numFmtId="349" fontId="186" fillId="127" borderId="126" applyNumberFormat="0" applyAlignment="0" applyProtection="0"/>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5"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19" borderId="122" applyNumberFormat="0" applyProtection="0">
      <alignment horizontal="right" vertical="center"/>
    </xf>
    <xf numFmtId="349" fontId="55" fillId="61" borderId="122" applyNumberFormat="0" applyProtection="0">
      <alignment horizontal="left" vertical="center" indent="1"/>
    </xf>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349" fontId="267" fillId="18" borderId="127" applyNumberFormat="0" applyProtection="0">
      <alignment horizontal="left" vertical="top"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2" borderId="128" applyNumberFormat="0" applyProtection="0">
      <alignment horizontal="right" vertical="center"/>
    </xf>
    <xf numFmtId="4" fontId="55" fillId="23" borderId="122" applyNumberFormat="0" applyProtection="0">
      <alignment horizontal="right" vertical="center"/>
    </xf>
    <xf numFmtId="4" fontId="55" fillId="24" borderId="122" applyNumberFormat="0" applyProtection="0">
      <alignment horizontal="right" vertical="center"/>
    </xf>
    <xf numFmtId="4" fontId="55" fillId="25" borderId="122" applyNumberFormat="0" applyProtection="0">
      <alignment horizontal="right" vertical="center"/>
    </xf>
    <xf numFmtId="4" fontId="55" fillId="26"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29" borderId="128" applyNumberFormat="0" applyProtection="0">
      <alignment horizontal="left" vertical="center" indent="1"/>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19" borderId="122" applyNumberFormat="0" applyProtection="0">
      <alignment horizontal="right" vertical="center"/>
    </xf>
    <xf numFmtId="4" fontId="55" fillId="30" borderId="128" applyNumberFormat="0" applyProtection="0">
      <alignment horizontal="left" vertical="center" indent="1"/>
    </xf>
    <xf numFmtId="4" fontId="55" fillId="19" borderId="128" applyNumberFormat="0" applyProtection="0">
      <alignment horizontal="left" vertical="center" indent="1"/>
    </xf>
    <xf numFmtId="349" fontId="55" fillId="61" borderId="122"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11" fillId="30" borderId="127" applyNumberFormat="0" applyProtection="0">
      <alignment horizontal="left" vertical="center"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2" borderId="122" applyNumberFormat="0" applyProtection="0">
      <alignment horizontal="left" vertical="center" indent="1"/>
    </xf>
    <xf numFmtId="349" fontId="95" fillId="31" borderId="129" applyBorder="0"/>
    <xf numFmtId="4" fontId="268" fillId="34" borderId="127" applyNumberFormat="0" applyProtection="0">
      <alignment vertical="center"/>
    </xf>
    <xf numFmtId="4" fontId="268" fillId="61" borderId="127" applyNumberFormat="0" applyProtection="0">
      <alignment horizontal="left" vertical="center" indent="1"/>
    </xf>
    <xf numFmtId="349" fontId="268" fillId="34" borderId="127" applyNumberFormat="0" applyProtection="0">
      <alignment horizontal="left" vertical="top" indent="1"/>
    </xf>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4" fontId="270" fillId="33" borderId="122" applyNumberFormat="0" applyProtection="0">
      <alignment horizontal="right" vertical="center"/>
    </xf>
    <xf numFmtId="37" fontId="66" fillId="0" borderId="130" applyNumberFormat="0"/>
    <xf numFmtId="349" fontId="17" fillId="0" borderId="131" applyNumberFormat="0" applyFill="0" applyAlignment="0" applyProtection="0"/>
    <xf numFmtId="349" fontId="17" fillId="0" borderId="131" applyNumberFormat="0" applyFill="0" applyAlignment="0" applyProtection="0"/>
    <xf numFmtId="349" fontId="11" fillId="30" borderId="127" applyNumberFormat="0" applyProtection="0">
      <alignment horizontal="left" vertical="center"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264" fillId="127" borderId="122" applyNumberFormat="0" applyAlignment="0" applyProtection="0"/>
    <xf numFmtId="349" fontId="264" fillId="127" borderId="122" applyNumberFormat="0" applyAlignment="0" applyProtection="0"/>
    <xf numFmtId="4" fontId="55" fillId="23" borderId="122" applyNumberFormat="0" applyProtection="0">
      <alignment horizontal="right" vertical="center"/>
    </xf>
    <xf numFmtId="4" fontId="55" fillId="24" borderId="122" applyNumberFormat="0" applyProtection="0">
      <alignment horizontal="right" vertical="center"/>
    </xf>
    <xf numFmtId="349" fontId="55" fillId="83" borderId="122" applyNumberFormat="0" applyProtection="0">
      <alignment horizontal="left" vertical="center" indent="1"/>
    </xf>
    <xf numFmtId="214" fontId="66" fillId="0" borderId="28" applyFill="0"/>
    <xf numFmtId="4" fontId="55" fillId="26" borderId="122" applyNumberFormat="0" applyProtection="0">
      <alignment horizontal="right" vertical="center"/>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95" fillId="31" borderId="129" applyBorder="0"/>
    <xf numFmtId="4" fontId="268" fillId="34" borderId="127" applyNumberFormat="0" applyProtection="0">
      <alignment vertical="center"/>
    </xf>
    <xf numFmtId="4" fontId="268" fillId="61" borderId="127" applyNumberFormat="0" applyProtection="0">
      <alignment horizontal="left" vertical="center" indent="1"/>
    </xf>
    <xf numFmtId="349" fontId="268" fillId="34" borderId="127" applyNumberFormat="0" applyProtection="0">
      <alignment horizontal="left" vertical="top" indent="1"/>
    </xf>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4" fontId="270" fillId="33" borderId="122" applyNumberFormat="0" applyProtection="0">
      <alignment horizontal="right" vertical="center"/>
    </xf>
    <xf numFmtId="37" fontId="66" fillId="0" borderId="130" applyNumberFormat="0"/>
    <xf numFmtId="349" fontId="17" fillId="0" borderId="131" applyNumberFormat="0" applyFill="0" applyAlignment="0" applyProtection="0"/>
    <xf numFmtId="349" fontId="17" fillId="0" borderId="131" applyNumberFormat="0" applyFill="0" applyAlignment="0" applyProtection="0"/>
    <xf numFmtId="349" fontId="55" fillId="30" borderId="122" applyNumberFormat="0" applyProtection="0">
      <alignment horizontal="left" vertical="center" indent="1"/>
    </xf>
    <xf numFmtId="349" fontId="264" fillId="127" borderId="122" applyNumberFormat="0" applyAlignment="0" applyProtection="0"/>
    <xf numFmtId="349" fontId="264" fillId="127" borderId="122" applyNumberFormat="0" applyAlignment="0" applyProtection="0"/>
    <xf numFmtId="214" fontId="66" fillId="0" borderId="28" applyFill="0"/>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4" fontId="270" fillId="33" borderId="122" applyNumberFormat="0" applyProtection="0">
      <alignment horizontal="right" vertical="center"/>
    </xf>
    <xf numFmtId="349" fontId="55" fillId="32" borderId="127" applyNumberFormat="0" applyProtection="0">
      <alignment horizontal="left" vertical="top" indent="1"/>
    </xf>
    <xf numFmtId="4" fontId="268" fillId="61" borderId="127" applyNumberFormat="0" applyProtection="0">
      <alignment horizontal="left" vertical="center" indent="1"/>
    </xf>
    <xf numFmtId="4" fontId="268" fillId="34" borderId="127" applyNumberFormat="0" applyProtection="0">
      <alignment vertical="center"/>
    </xf>
    <xf numFmtId="349" fontId="11" fillId="32" borderId="127" applyNumberFormat="0" applyProtection="0">
      <alignment horizontal="left" vertical="top" indent="1"/>
    </xf>
    <xf numFmtId="349" fontId="55" fillId="32" borderId="122" applyNumberFormat="0" applyProtection="0">
      <alignment horizontal="left" vertical="center" indent="1"/>
    </xf>
    <xf numFmtId="349" fontId="55" fillId="31" borderId="127" applyNumberFormat="0" applyProtection="0">
      <alignment horizontal="left" vertical="top" indent="1"/>
    </xf>
    <xf numFmtId="349" fontId="55" fillId="13" borderId="122" applyNumberFormat="0" applyFont="0" applyAlignment="0" applyProtection="0"/>
    <xf numFmtId="349" fontId="55" fillId="30" borderId="127" applyNumberFormat="0" applyProtection="0">
      <alignment horizontal="left" vertical="top" indent="1"/>
    </xf>
    <xf numFmtId="349" fontId="55" fillId="19" borderId="127" applyNumberFormat="0" applyProtection="0">
      <alignment horizontal="left" vertical="top" indent="1"/>
    </xf>
    <xf numFmtId="349" fontId="264" fillId="127" borderId="122" applyNumberFormat="0" applyAlignment="0" applyProtection="0"/>
    <xf numFmtId="349" fontId="17" fillId="0" borderId="131" applyNumberFormat="0" applyFill="0" applyAlignment="0" applyProtection="0"/>
    <xf numFmtId="349" fontId="17" fillId="0" borderId="131" applyNumberFormat="0" applyFill="0" applyAlignment="0" applyProtection="0"/>
    <xf numFmtId="37" fontId="66" fillId="0" borderId="130" applyNumberFormat="0"/>
    <xf numFmtId="4" fontId="270" fillId="33" borderId="122" applyNumberFormat="0" applyProtection="0">
      <alignment horizontal="right" vertical="center"/>
    </xf>
    <xf numFmtId="4" fontId="269" fillId="35" borderId="128" applyNumberFormat="0" applyProtection="0">
      <alignment horizontal="left" vertical="center" indent="1"/>
    </xf>
    <xf numFmtId="349" fontId="268" fillId="19" borderId="127" applyNumberFormat="0" applyProtection="0">
      <alignment horizontal="left" vertical="top" indent="1"/>
    </xf>
    <xf numFmtId="4" fontId="55" fillId="64" borderId="122" applyNumberFormat="0" applyProtection="0">
      <alignment horizontal="left" vertical="center"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30" fillId="0" borderId="0"/>
    <xf numFmtId="349" fontId="144" fillId="14" borderId="122" applyNumberFormat="0" applyAlignment="0" applyProtection="0"/>
    <xf numFmtId="349" fontId="144" fillId="14" borderId="122" applyNumberFormat="0" applyAlignment="0" applyProtection="0"/>
    <xf numFmtId="349" fontId="264" fillId="127" borderId="122" applyNumberFormat="0" applyAlignment="0" applyProtection="0"/>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11" fillId="19" borderId="127" applyNumberFormat="0" applyProtection="0">
      <alignment horizontal="left" vertical="top" indent="1"/>
    </xf>
    <xf numFmtId="349" fontId="55" fillId="31" borderId="127" applyNumberFormat="0" applyProtection="0">
      <alignment horizontal="left" vertical="top" indent="1"/>
    </xf>
    <xf numFmtId="349" fontId="95" fillId="31" borderId="129" applyBorder="0"/>
    <xf numFmtId="349" fontId="55" fillId="13" borderId="122" applyNumberFormat="0" applyFont="0" applyAlignment="0" applyProtection="0"/>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268" fillId="19" borderId="127" applyNumberFormat="0" applyProtection="0">
      <alignment horizontal="left" vertical="top" indent="1"/>
    </xf>
    <xf numFmtId="349" fontId="55" fillId="30" borderId="122" applyNumberFormat="0" applyProtection="0">
      <alignment horizontal="left" vertical="center" indent="1"/>
    </xf>
    <xf numFmtId="214" fontId="66" fillId="0" borderId="28" applyFill="0"/>
    <xf numFmtId="349" fontId="264" fillId="127" borderId="122" applyNumberFormat="0" applyAlignment="0" applyProtection="0"/>
    <xf numFmtId="349" fontId="264" fillId="127" borderId="122" applyNumberFormat="0" applyAlignment="0" applyProtection="0"/>
    <xf numFmtId="349" fontId="55" fillId="31" borderId="127" applyNumberFormat="0" applyProtection="0">
      <alignment horizontal="left" vertical="top" indent="1"/>
    </xf>
    <xf numFmtId="349" fontId="55" fillId="30" borderId="127" applyNumberFormat="0" applyProtection="0">
      <alignment horizontal="left" vertical="top" indent="1"/>
    </xf>
    <xf numFmtId="169" fontId="9" fillId="0" borderId="0" applyFont="0" applyFill="0" applyBorder="0" applyAlignment="0" applyProtection="0"/>
    <xf numFmtId="349" fontId="55" fillId="30" borderId="127" applyNumberFormat="0" applyProtection="0">
      <alignment horizontal="left" vertical="top" indent="1"/>
    </xf>
    <xf numFmtId="169" fontId="8" fillId="0" borderId="0" applyFont="0" applyFill="0" applyBorder="0" applyAlignment="0" applyProtection="0"/>
    <xf numFmtId="349" fontId="95" fillId="31" borderId="129" applyBorder="0"/>
    <xf numFmtId="4" fontId="55" fillId="24" borderId="122" applyNumberFormat="0" applyProtection="0">
      <alignment horizontal="right" vertical="center"/>
    </xf>
    <xf numFmtId="349" fontId="55" fillId="13" borderId="122" applyNumberFormat="0" applyFont="0" applyAlignment="0" applyProtection="0"/>
    <xf numFmtId="4" fontId="55" fillId="19" borderId="128" applyNumberFormat="0" applyProtection="0">
      <alignment horizontal="left" vertical="center" indent="1"/>
    </xf>
    <xf numFmtId="4" fontId="55" fillId="25" borderId="122" applyNumberFormat="0" applyProtection="0">
      <alignment horizontal="right" vertical="center"/>
    </xf>
    <xf numFmtId="349" fontId="55" fillId="61" borderId="122" applyNumberFormat="0" applyProtection="0">
      <alignment horizontal="left" vertical="center" indent="1"/>
    </xf>
    <xf numFmtId="4" fontId="269" fillId="35" borderId="128" applyNumberFormat="0" applyProtection="0">
      <alignment horizontal="left" vertical="center" indent="1"/>
    </xf>
    <xf numFmtId="349" fontId="268" fillId="19" borderId="127" applyNumberFormat="0" applyProtection="0">
      <alignment horizontal="left" vertical="top"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4" fontId="268" fillId="34" borderId="127" applyNumberFormat="0" applyProtection="0">
      <alignment vertical="center"/>
    </xf>
    <xf numFmtId="349" fontId="95" fillId="31" borderId="129" applyBorder="0"/>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214" fontId="66" fillId="0" borderId="28" applyFill="0"/>
    <xf numFmtId="349" fontId="55" fillId="83" borderId="122" applyNumberFormat="0" applyProtection="0">
      <alignment horizontal="left" vertical="center" indent="1"/>
    </xf>
    <xf numFmtId="4" fontId="55" fillId="23" borderId="122" applyNumberFormat="0" applyProtection="0">
      <alignment horizontal="right" vertical="center"/>
    </xf>
    <xf numFmtId="349" fontId="264" fillId="127" borderId="122" applyNumberFormat="0" applyAlignment="0" applyProtection="0"/>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11" fillId="30" borderId="127" applyNumberFormat="0" applyProtection="0">
      <alignment horizontal="left" vertical="center" indent="1"/>
    </xf>
    <xf numFmtId="349" fontId="17" fillId="0" borderId="131" applyNumberFormat="0" applyFill="0" applyAlignment="0" applyProtection="0"/>
    <xf numFmtId="349" fontId="17" fillId="0" borderId="131" applyNumberFormat="0" applyFill="0" applyAlignment="0" applyProtection="0"/>
    <xf numFmtId="37" fontId="66" fillId="0" borderId="130" applyNumberFormat="0"/>
    <xf numFmtId="4" fontId="270" fillId="33" borderId="122" applyNumberFormat="0" applyProtection="0">
      <alignment horizontal="right" vertical="center"/>
    </xf>
    <xf numFmtId="4" fontId="269" fillId="35" borderId="128" applyNumberFormat="0" applyProtection="0">
      <alignment horizontal="left" vertical="center" indent="1"/>
    </xf>
    <xf numFmtId="349" fontId="268" fillId="19" borderId="127" applyNumberFormat="0" applyProtection="0">
      <alignment horizontal="left" vertical="top" indent="1"/>
    </xf>
    <xf numFmtId="4" fontId="55" fillId="64" borderId="122" applyNumberFormat="0" applyProtection="0">
      <alignment horizontal="left" vertical="center"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4" fontId="268" fillId="61" borderId="127" applyNumberFormat="0" applyProtection="0">
      <alignment horizontal="left" vertical="center" indent="1"/>
    </xf>
    <xf numFmtId="4" fontId="268" fillId="34" borderId="127" applyNumberFormat="0" applyProtection="0">
      <alignment vertical="center"/>
    </xf>
    <xf numFmtId="349" fontId="95" fillId="31" borderId="129" applyBorder="0"/>
    <xf numFmtId="349" fontId="55" fillId="32" borderId="122" applyNumberFormat="0" applyProtection="0">
      <alignment horizontal="left" vertical="center"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0" borderId="122"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32" borderId="122"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264" fillId="127" borderId="122" applyNumberFormat="0" applyAlignment="0" applyProtection="0"/>
    <xf numFmtId="349" fontId="264" fillId="127" borderId="122"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86" fillId="127" borderId="126" applyNumberFormat="0" applyAlignment="0" applyProtection="0"/>
    <xf numFmtId="349" fontId="186" fillId="127" borderId="126" applyNumberFormat="0" applyAlignment="0" applyProtection="0"/>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349" fontId="267" fillId="18" borderId="127" applyNumberFormat="0" applyProtection="0">
      <alignment horizontal="left" vertical="top"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2" borderId="128" applyNumberFormat="0" applyProtection="0">
      <alignment horizontal="right" vertical="center"/>
    </xf>
    <xf numFmtId="4" fontId="55" fillId="23" borderId="122" applyNumberFormat="0" applyProtection="0">
      <alignment horizontal="right" vertical="center"/>
    </xf>
    <xf numFmtId="4" fontId="55" fillId="24" borderId="122" applyNumberFormat="0" applyProtection="0">
      <alignment horizontal="right" vertical="center"/>
    </xf>
    <xf numFmtId="4" fontId="55" fillId="25" borderId="122" applyNumberFormat="0" applyProtection="0">
      <alignment horizontal="right" vertical="center"/>
    </xf>
    <xf numFmtId="4" fontId="55" fillId="26"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29" borderId="128" applyNumberFormat="0" applyProtection="0">
      <alignment horizontal="left" vertical="center" indent="1"/>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19" borderId="122" applyNumberFormat="0" applyProtection="0">
      <alignment horizontal="right" vertical="center"/>
    </xf>
    <xf numFmtId="4" fontId="55" fillId="30" borderId="128" applyNumberFormat="0" applyProtection="0">
      <alignment horizontal="left" vertical="center" indent="1"/>
    </xf>
    <xf numFmtId="4" fontId="55" fillId="19" borderId="128" applyNumberFormat="0" applyProtection="0">
      <alignment horizontal="left" vertical="center" indent="1"/>
    </xf>
    <xf numFmtId="349" fontId="55" fillId="61" borderId="122"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268" fillId="19"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0" borderId="122"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32" borderId="122" applyNumberFormat="0" applyProtection="0">
      <alignment horizontal="left" vertical="center" indent="1"/>
    </xf>
    <xf numFmtId="169" fontId="15" fillId="0" borderId="0" applyFont="0" applyFill="0" applyBorder="0" applyAlignment="0" applyProtection="0"/>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169" fontId="15"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349" fontId="55" fillId="31" borderId="127" applyNumberFormat="0" applyProtection="0">
      <alignment horizontal="left" vertical="top" indent="1"/>
    </xf>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5"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4" fontId="55" fillId="0" borderId="122" applyNumberFormat="0" applyProtection="0">
      <alignment horizontal="right" vertical="center"/>
    </xf>
    <xf numFmtId="349" fontId="17" fillId="0" borderId="131" applyNumberFormat="0" applyFill="0" applyAlignment="0" applyProtection="0"/>
    <xf numFmtId="349" fontId="17" fillId="0" borderId="131" applyNumberFormat="0" applyFill="0" applyAlignment="0" applyProtection="0"/>
    <xf numFmtId="37" fontId="66" fillId="0" borderId="130" applyNumberFormat="0"/>
    <xf numFmtId="4" fontId="270" fillId="33" borderId="122" applyNumberFormat="0" applyProtection="0">
      <alignment horizontal="right" vertical="center"/>
    </xf>
    <xf numFmtId="4" fontId="269" fillId="35" borderId="128" applyNumberFormat="0" applyProtection="0">
      <alignment horizontal="left" vertical="center" indent="1"/>
    </xf>
    <xf numFmtId="4" fontId="55" fillId="64" borderId="122" applyNumberFormat="0" applyProtection="0">
      <alignment horizontal="left" vertical="center"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4" fontId="268" fillId="61" borderId="127" applyNumberFormat="0" applyProtection="0">
      <alignment horizontal="left" vertical="center" indent="1"/>
    </xf>
    <xf numFmtId="4" fontId="268" fillId="34" borderId="127" applyNumberFormat="0" applyProtection="0">
      <alignment vertical="center"/>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4" fontId="55" fillId="26" borderId="122" applyNumberFormat="0" applyProtection="0">
      <alignment horizontal="right" vertical="center"/>
    </xf>
    <xf numFmtId="214" fontId="66" fillId="0" borderId="28" applyFill="0"/>
    <xf numFmtId="349" fontId="55" fillId="83" borderId="122" applyNumberFormat="0" applyProtection="0">
      <alignment horizontal="left" vertical="center" indent="1"/>
    </xf>
    <xf numFmtId="4" fontId="55" fillId="24" borderId="122" applyNumberFormat="0" applyProtection="0">
      <alignment horizontal="right" vertical="center"/>
    </xf>
    <xf numFmtId="4" fontId="55" fillId="23" borderId="122" applyNumberFormat="0" applyProtection="0">
      <alignment horizontal="right" vertical="center"/>
    </xf>
    <xf numFmtId="349" fontId="264" fillId="127" borderId="122" applyNumberFormat="0" applyAlignment="0" applyProtection="0"/>
    <xf numFmtId="349" fontId="264" fillId="127" borderId="122" applyNumberFormat="0" applyAlignment="0" applyProtection="0"/>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11" fillId="30" borderId="127" applyNumberFormat="0" applyProtection="0">
      <alignment horizontal="left" vertical="center" indent="1"/>
    </xf>
    <xf numFmtId="349" fontId="17" fillId="0" borderId="131" applyNumberFormat="0" applyFill="0" applyAlignment="0" applyProtection="0"/>
    <xf numFmtId="349" fontId="17" fillId="0" borderId="131" applyNumberFormat="0" applyFill="0" applyAlignment="0" applyProtection="0"/>
    <xf numFmtId="37" fontId="66" fillId="0" borderId="130" applyNumberFormat="0"/>
    <xf numFmtId="4" fontId="270" fillId="33" borderId="122" applyNumberFormat="0" applyProtection="0">
      <alignment horizontal="right" vertical="center"/>
    </xf>
    <xf numFmtId="4" fontId="269" fillId="35" borderId="128" applyNumberFormat="0" applyProtection="0">
      <alignment horizontal="left" vertical="center" indent="1"/>
    </xf>
    <xf numFmtId="349" fontId="268" fillId="19" borderId="127" applyNumberFormat="0" applyProtection="0">
      <alignment horizontal="left" vertical="top" indent="1"/>
    </xf>
    <xf numFmtId="4" fontId="55" fillId="64" borderId="122" applyNumberFormat="0" applyProtection="0">
      <alignment horizontal="left" vertical="center"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4" fontId="268" fillId="61" borderId="127" applyNumberFormat="0" applyProtection="0">
      <alignment horizontal="left" vertical="center" indent="1"/>
    </xf>
    <xf numFmtId="4" fontId="268" fillId="34" borderId="127" applyNumberFormat="0" applyProtection="0">
      <alignment vertical="center"/>
    </xf>
    <xf numFmtId="349" fontId="95" fillId="31" borderId="129" applyBorder="0"/>
    <xf numFmtId="349" fontId="55" fillId="32" borderId="122" applyNumberFormat="0" applyProtection="0">
      <alignment horizontal="left" vertical="center"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0" borderId="122"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32" borderId="122"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55" fillId="61" borderId="122" applyNumberFormat="0" applyProtection="0">
      <alignment horizontal="left" vertical="center" indent="1"/>
    </xf>
    <xf numFmtId="4" fontId="55" fillId="19" borderId="122" applyNumberFormat="0" applyProtection="0">
      <alignment horizontal="right" vertical="center"/>
    </xf>
    <xf numFmtId="4" fontId="55" fillId="28" borderId="122" applyNumberFormat="0" applyProtection="0">
      <alignment horizontal="right" vertical="center"/>
    </xf>
    <xf numFmtId="4" fontId="55" fillId="27" borderId="122" applyNumberFormat="0" applyProtection="0">
      <alignment horizontal="right" vertical="center"/>
    </xf>
    <xf numFmtId="4" fontId="55" fillId="25" borderId="122"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144" fillId="14" borderId="122" applyNumberFormat="0" applyAlignment="0" applyProtection="0"/>
    <xf numFmtId="349" fontId="264" fillId="127" borderId="122" applyNumberFormat="0" applyAlignment="0" applyProtection="0"/>
    <xf numFmtId="349" fontId="264" fillId="127" borderId="122"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86" fillId="127" borderId="126" applyNumberFormat="0" applyAlignment="0" applyProtection="0"/>
    <xf numFmtId="349" fontId="186" fillId="127" borderId="126" applyNumberFormat="0" applyAlignment="0" applyProtection="0"/>
    <xf numFmtId="4" fontId="55" fillId="18" borderId="122" applyNumberFormat="0" applyProtection="0">
      <alignment vertical="center"/>
    </xf>
    <xf numFmtId="4" fontId="266" fillId="45" borderId="122" applyNumberFormat="0" applyProtection="0">
      <alignment vertical="center"/>
    </xf>
    <xf numFmtId="4" fontId="55" fillId="45" borderId="122" applyNumberFormat="0" applyProtection="0">
      <alignment horizontal="left" vertical="center" indent="1"/>
    </xf>
    <xf numFmtId="349" fontId="267" fillId="18" borderId="127" applyNumberFormat="0" applyProtection="0">
      <alignment horizontal="left" vertical="top" indent="1"/>
    </xf>
    <xf numFmtId="4" fontId="55" fillId="64" borderId="122" applyNumberFormat="0" applyProtection="0">
      <alignment horizontal="left" vertical="center" indent="1"/>
    </xf>
    <xf numFmtId="4" fontId="55" fillId="20" borderId="122" applyNumberFormat="0" applyProtection="0">
      <alignment horizontal="right" vertical="center"/>
    </xf>
    <xf numFmtId="4" fontId="55" fillId="130" borderId="122" applyNumberFormat="0" applyProtection="0">
      <alignment horizontal="right" vertical="center"/>
    </xf>
    <xf numFmtId="4" fontId="55" fillId="22" borderId="128" applyNumberFormat="0" applyProtection="0">
      <alignment horizontal="right" vertical="center"/>
    </xf>
    <xf numFmtId="4" fontId="55" fillId="23" borderId="122" applyNumberFormat="0" applyProtection="0">
      <alignment horizontal="right" vertical="center"/>
    </xf>
    <xf numFmtId="4" fontId="55" fillId="24" borderId="122" applyNumberFormat="0" applyProtection="0">
      <alignment horizontal="right" vertical="center"/>
    </xf>
    <xf numFmtId="4" fontId="55" fillId="25" borderId="122" applyNumberFormat="0" applyProtection="0">
      <alignment horizontal="right" vertical="center"/>
    </xf>
    <xf numFmtId="4" fontId="55" fillId="26" borderId="122" applyNumberFormat="0" applyProtection="0">
      <alignment horizontal="right" vertical="center"/>
    </xf>
    <xf numFmtId="4" fontId="55" fillId="27" borderId="122" applyNumberFormat="0" applyProtection="0">
      <alignment horizontal="right" vertical="center"/>
    </xf>
    <xf numFmtId="4" fontId="55" fillId="28" borderId="122" applyNumberFormat="0" applyProtection="0">
      <alignment horizontal="right" vertical="center"/>
    </xf>
    <xf numFmtId="4" fontId="55" fillId="29" borderId="128" applyNumberFormat="0" applyProtection="0">
      <alignment horizontal="left" vertical="center" indent="1"/>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19" borderId="122" applyNumberFormat="0" applyProtection="0">
      <alignment horizontal="right" vertical="center"/>
    </xf>
    <xf numFmtId="4" fontId="55" fillId="30" borderId="128" applyNumberFormat="0" applyProtection="0">
      <alignment horizontal="left" vertical="center" indent="1"/>
    </xf>
    <xf numFmtId="4" fontId="55" fillId="19" borderId="128" applyNumberFormat="0" applyProtection="0">
      <alignment horizontal="left" vertical="center" indent="1"/>
    </xf>
    <xf numFmtId="349" fontId="55" fillId="61" borderId="122"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55" fillId="30" borderId="127" applyNumberFormat="0" applyProtection="0">
      <alignment horizontal="left" vertical="top" indent="1"/>
    </xf>
    <xf numFmtId="4" fontId="268" fillId="61" borderId="127" applyNumberFormat="0" applyProtection="0">
      <alignment horizontal="left" vertical="center" indent="1"/>
    </xf>
    <xf numFmtId="214" fontId="66" fillId="0" borderId="28" applyFill="0"/>
    <xf numFmtId="349" fontId="55" fillId="30" borderId="127" applyNumberFormat="0" applyProtection="0">
      <alignment horizontal="left" vertical="top" indent="1"/>
    </xf>
    <xf numFmtId="349" fontId="268" fillId="19" borderId="127" applyNumberFormat="0" applyProtection="0">
      <alignment horizontal="left" vertical="top" indent="1"/>
    </xf>
    <xf numFmtId="349" fontId="55" fillId="32" borderId="127" applyNumberFormat="0" applyProtection="0">
      <alignment horizontal="left" vertical="top" indent="1"/>
    </xf>
    <xf numFmtId="349" fontId="55" fillId="31" borderId="127" applyNumberFormat="0" applyProtection="0">
      <alignment horizontal="left" vertical="top" indent="1"/>
    </xf>
    <xf numFmtId="4" fontId="55" fillId="27" borderId="122" applyNumberFormat="0" applyProtection="0">
      <alignment horizontal="right" vertical="center"/>
    </xf>
    <xf numFmtId="349" fontId="55" fillId="19" borderId="127" applyNumberFormat="0" applyProtection="0">
      <alignment horizontal="left" vertical="top" indent="1"/>
    </xf>
    <xf numFmtId="169" fontId="14" fillId="0" borderId="0" applyFont="0" applyFill="0" applyBorder="0" applyAlignment="0" applyProtection="0"/>
    <xf numFmtId="349" fontId="55" fillId="19" borderId="127" applyNumberFormat="0" applyProtection="0">
      <alignment horizontal="left" vertical="top" indent="1"/>
    </xf>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31" borderId="127" applyNumberFormat="0" applyProtection="0">
      <alignment horizontal="left" vertical="top" indent="1"/>
    </xf>
    <xf numFmtId="4" fontId="55" fillId="64" borderId="122" applyNumberFormat="0" applyProtection="0">
      <alignment horizontal="left" vertical="center" indent="1"/>
    </xf>
    <xf numFmtId="349" fontId="55" fillId="32" borderId="127" applyNumberFormat="0" applyProtection="0">
      <alignment horizontal="left" vertical="top" indent="1"/>
    </xf>
    <xf numFmtId="349" fontId="17" fillId="0" borderId="131" applyNumberFormat="0" applyFill="0" applyAlignment="0" applyProtection="0"/>
    <xf numFmtId="349" fontId="17" fillId="0" borderId="131" applyNumberFormat="0" applyFill="0" applyAlignment="0" applyProtection="0"/>
    <xf numFmtId="4" fontId="55" fillId="28" borderId="122" applyNumberFormat="0" applyProtection="0">
      <alignment horizontal="right" vertical="center"/>
    </xf>
    <xf numFmtId="349" fontId="55" fillId="30" borderId="127" applyNumberFormat="0" applyProtection="0">
      <alignment horizontal="left" vertical="top" indent="1"/>
    </xf>
    <xf numFmtId="37" fontId="66" fillId="0" borderId="130" applyNumberFormat="0"/>
    <xf numFmtId="349" fontId="55" fillId="19" borderId="127" applyNumberFormat="0" applyProtection="0">
      <alignment horizontal="left" vertical="top" indent="1"/>
    </xf>
    <xf numFmtId="349" fontId="267" fillId="18" borderId="127" applyNumberFormat="0" applyProtection="0">
      <alignment horizontal="left" vertical="top" indent="1"/>
    </xf>
    <xf numFmtId="349" fontId="55" fillId="13" borderId="122" applyNumberFormat="0" applyFont="0" applyAlignment="0" applyProtection="0"/>
    <xf numFmtId="4" fontId="270" fillId="33" borderId="122" applyNumberFormat="0" applyProtection="0">
      <alignment horizontal="right" vertical="center"/>
    </xf>
    <xf numFmtId="4" fontId="269" fillId="35" borderId="128" applyNumberFormat="0" applyProtection="0">
      <alignment horizontal="left" vertical="center" indent="1"/>
    </xf>
    <xf numFmtId="349" fontId="268" fillId="19" borderId="127" applyNumberFormat="0" applyProtection="0">
      <alignment horizontal="left" vertical="top" indent="1"/>
    </xf>
    <xf numFmtId="4" fontId="55" fillId="64" borderId="122" applyNumberFormat="0" applyProtection="0">
      <alignment horizontal="left" vertical="center"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4" fontId="268" fillId="61" borderId="127" applyNumberFormat="0" applyProtection="0">
      <alignment horizontal="left" vertical="center" indent="1"/>
    </xf>
    <xf numFmtId="4" fontId="268" fillId="34" borderId="127" applyNumberFormat="0" applyProtection="0">
      <alignment vertical="center"/>
    </xf>
    <xf numFmtId="349" fontId="95" fillId="31" borderId="129" applyBorder="0"/>
    <xf numFmtId="4" fontId="55" fillId="25" borderId="122" applyNumberFormat="0" applyProtection="0">
      <alignment horizontal="right" vertical="center"/>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0" borderId="122"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32" borderId="122"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4" fontId="55" fillId="27" borderId="122" applyNumberFormat="0" applyProtection="0">
      <alignment horizontal="right" vertical="center"/>
    </xf>
    <xf numFmtId="4" fontId="55" fillId="25" borderId="122" applyNumberFormat="0" applyProtection="0">
      <alignment horizontal="right" vertical="center"/>
    </xf>
    <xf numFmtId="349" fontId="186" fillId="127" borderId="126" applyNumberFormat="0" applyAlignment="0" applyProtection="0"/>
    <xf numFmtId="349" fontId="55" fillId="61" borderId="122" applyNumberFormat="0" applyProtection="0">
      <alignment horizontal="left" vertical="center" indent="1"/>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4" fontId="55" fillId="130" borderId="122" applyNumberFormat="0" applyProtection="0">
      <alignment horizontal="right" vertical="center"/>
    </xf>
    <xf numFmtId="349" fontId="55" fillId="13" borderId="122" applyNumberFormat="0" applyFont="0" applyAlignment="0" applyProtection="0"/>
    <xf numFmtId="4" fontId="55" fillId="22" borderId="128" applyNumberFormat="0" applyProtection="0">
      <alignment horizontal="right" vertical="center"/>
    </xf>
    <xf numFmtId="349" fontId="186" fillId="127" borderId="126" applyNumberFormat="0" applyAlignment="0" applyProtection="0"/>
    <xf numFmtId="349" fontId="55" fillId="13" borderId="122" applyNumberFormat="0" applyFont="0" applyAlignment="0" applyProtection="0"/>
    <xf numFmtId="4" fontId="55" fillId="20" borderId="122" applyNumberFormat="0" applyProtection="0">
      <alignment horizontal="right" vertical="center"/>
    </xf>
    <xf numFmtId="4" fontId="55" fillId="18" borderId="122" applyNumberFormat="0" applyProtection="0">
      <alignment vertical="center"/>
    </xf>
    <xf numFmtId="4" fontId="55" fillId="24" borderId="122" applyNumberFormat="0" applyProtection="0">
      <alignment horizontal="right" vertical="center"/>
    </xf>
    <xf numFmtId="4" fontId="266" fillId="45" borderId="122" applyNumberFormat="0" applyProtection="0">
      <alignment vertical="center"/>
    </xf>
    <xf numFmtId="169" fontId="14" fillId="0" borderId="0" applyFont="0" applyFill="0" applyBorder="0" applyAlignment="0" applyProtection="0"/>
    <xf numFmtId="349" fontId="144" fillId="14" borderId="122" applyNumberFormat="0" applyAlignment="0" applyProtection="0"/>
    <xf numFmtId="349" fontId="55" fillId="61" borderId="122" applyNumberFormat="0" applyProtection="0">
      <alignment horizontal="left" vertical="center" indent="1"/>
    </xf>
    <xf numFmtId="349" fontId="55" fillId="13" borderId="122" applyNumberFormat="0" applyFont="0" applyAlignment="0" applyProtection="0"/>
    <xf numFmtId="349" fontId="144" fillId="14" borderId="122" applyNumberFormat="0" applyAlignment="0" applyProtection="0"/>
    <xf numFmtId="4" fontId="266" fillId="45" borderId="122" applyNumberFormat="0" applyProtection="0">
      <alignment vertical="center"/>
    </xf>
    <xf numFmtId="169" fontId="14" fillId="0" borderId="0" applyFont="0" applyFill="0" applyBorder="0" applyAlignment="0" applyProtection="0"/>
    <xf numFmtId="4" fontId="55" fillId="19" borderId="122" applyNumberFormat="0" applyProtection="0">
      <alignment horizontal="right" vertical="center"/>
    </xf>
    <xf numFmtId="4" fontId="55" fillId="18" borderId="122" applyNumberFormat="0" applyProtection="0">
      <alignment vertical="center"/>
    </xf>
    <xf numFmtId="4" fontId="55" fillId="18" borderId="122" applyNumberFormat="0" applyProtection="0">
      <alignment vertical="center"/>
    </xf>
    <xf numFmtId="4" fontId="55" fillId="19" borderId="122" applyNumberFormat="0" applyProtection="0">
      <alignment horizontal="right" vertical="center"/>
    </xf>
    <xf numFmtId="4" fontId="55" fillId="23" borderId="122" applyNumberFormat="0" applyProtection="0">
      <alignment horizontal="right" vertical="center"/>
    </xf>
    <xf numFmtId="349" fontId="186" fillId="127" borderId="126" applyNumberFormat="0" applyAlignment="0" applyProtection="0"/>
    <xf numFmtId="349" fontId="55" fillId="13" borderId="122" applyNumberFormat="0" applyFont="0" applyAlignment="0" applyProtection="0"/>
    <xf numFmtId="4" fontId="55" fillId="130" borderId="122" applyNumberFormat="0" applyProtection="0">
      <alignment horizontal="right" vertical="center"/>
    </xf>
    <xf numFmtId="4" fontId="55" fillId="45" borderId="122" applyNumberFormat="0" applyProtection="0">
      <alignment horizontal="left" vertical="center" indent="1"/>
    </xf>
    <xf numFmtId="349" fontId="55" fillId="32" borderId="122" applyNumberFormat="0" applyProtection="0">
      <alignment horizontal="left" vertical="center" indent="1"/>
    </xf>
    <xf numFmtId="349" fontId="55" fillId="13" borderId="122" applyNumberFormat="0" applyFont="0" applyAlignment="0" applyProtection="0"/>
    <xf numFmtId="349" fontId="95" fillId="31" borderId="129" applyBorder="0"/>
    <xf numFmtId="349" fontId="17" fillId="0" borderId="131" applyNumberFormat="0" applyFill="0" applyAlignment="0" applyProtection="0"/>
    <xf numFmtId="169" fontId="14" fillId="0" borderId="0" applyFont="0" applyFill="0" applyBorder="0" applyAlignment="0" applyProtection="0"/>
    <xf numFmtId="349" fontId="264" fillId="127" borderId="122" applyNumberFormat="0" applyAlignment="0" applyProtection="0"/>
    <xf numFmtId="4" fontId="55" fillId="24" borderId="122" applyNumberFormat="0" applyProtection="0">
      <alignment horizontal="right" vertical="center"/>
    </xf>
    <xf numFmtId="349" fontId="55" fillId="13" borderId="122" applyNumberFormat="0" applyFont="0" applyAlignment="0" applyProtection="0"/>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4" fontId="55" fillId="64" borderId="122" applyNumberFormat="0" applyProtection="0">
      <alignment horizontal="left" vertical="center" indent="1"/>
    </xf>
    <xf numFmtId="349" fontId="268" fillId="19" borderId="127" applyNumberFormat="0" applyProtection="0">
      <alignment horizontal="left" vertical="top" indent="1"/>
    </xf>
    <xf numFmtId="349" fontId="17" fillId="0" borderId="131" applyNumberFormat="0" applyFill="0" applyAlignment="0" applyProtection="0"/>
    <xf numFmtId="349" fontId="55" fillId="13" borderId="122" applyNumberFormat="0" applyFont="0" applyAlignment="0" applyProtection="0"/>
    <xf numFmtId="4" fontId="266" fillId="45" borderId="122" applyNumberFormat="0" applyProtection="0">
      <alignment vertical="center"/>
    </xf>
    <xf numFmtId="349" fontId="55" fillId="83" borderId="122" applyNumberFormat="0" applyProtection="0">
      <alignment horizontal="left" vertical="center" indent="1"/>
    </xf>
    <xf numFmtId="37" fontId="66" fillId="0" borderId="130" applyNumberFormat="0"/>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55" fillId="19" borderId="127" applyNumberFormat="0" applyProtection="0">
      <alignment horizontal="left" vertical="top" indent="1"/>
    </xf>
    <xf numFmtId="349" fontId="11" fillId="32" borderId="127" applyNumberFormat="0" applyProtection="0">
      <alignment horizontal="left" vertical="top" indent="1"/>
    </xf>
    <xf numFmtId="349" fontId="55" fillId="19" borderId="127" applyNumberFormat="0" applyProtection="0">
      <alignment horizontal="left" vertical="top" indent="1"/>
    </xf>
    <xf numFmtId="349" fontId="55" fillId="61" borderId="122" applyNumberFormat="0" applyProtection="0">
      <alignment horizontal="left" vertical="center" indent="1"/>
    </xf>
    <xf numFmtId="4" fontId="55" fillId="28" borderId="122" applyNumberFormat="0" applyProtection="0">
      <alignment horizontal="right" vertical="center"/>
    </xf>
    <xf numFmtId="4" fontId="55" fillId="130" borderId="122" applyNumberFormat="0" applyProtection="0">
      <alignment horizontal="right" vertical="center"/>
    </xf>
    <xf numFmtId="4" fontId="55" fillId="64" borderId="122" applyNumberFormat="0" applyProtection="0">
      <alignment horizontal="left" vertical="center" indent="1"/>
    </xf>
    <xf numFmtId="4" fontId="266" fillId="45" borderId="122" applyNumberFormat="0" applyProtection="0">
      <alignment vertical="center"/>
    </xf>
    <xf numFmtId="4" fontId="270" fillId="33" borderId="122" applyNumberFormat="0" applyProtection="0">
      <alignment horizontal="right" vertical="center"/>
    </xf>
    <xf numFmtId="349" fontId="55" fillId="30" borderId="127" applyNumberFormat="0" applyProtection="0">
      <alignment horizontal="left" vertical="top" indent="1"/>
    </xf>
    <xf numFmtId="349" fontId="55" fillId="30" borderId="127" applyNumberFormat="0" applyProtection="0">
      <alignment horizontal="left" vertical="top" indent="1"/>
    </xf>
    <xf numFmtId="169" fontId="14" fillId="0" borderId="0" applyFont="0" applyFill="0" applyBorder="0" applyAlignment="0" applyProtection="0"/>
    <xf numFmtId="4" fontId="55" fillId="64" borderId="122" applyNumberFormat="0" applyProtection="0">
      <alignment horizontal="left" vertical="center" indent="1"/>
    </xf>
    <xf numFmtId="4" fontId="268" fillId="61" borderId="127" applyNumberFormat="0" applyProtection="0">
      <alignment horizontal="left" vertical="center" indent="1"/>
    </xf>
    <xf numFmtId="4" fontId="55" fillId="26" borderId="122" applyNumberFormat="0" applyProtection="0">
      <alignment horizontal="right" vertical="center"/>
    </xf>
    <xf numFmtId="4" fontId="55" fillId="24" borderId="122" applyNumberFormat="0" applyProtection="0">
      <alignment horizontal="right" vertical="center"/>
    </xf>
    <xf numFmtId="349" fontId="264" fillId="127" borderId="122" applyNumberFormat="0" applyAlignment="0" applyProtection="0"/>
    <xf numFmtId="169" fontId="14" fillId="0" borderId="0" applyFont="0" applyFill="0" applyBorder="0" applyAlignment="0" applyProtection="0"/>
    <xf numFmtId="169" fontId="14" fillId="0" borderId="0" applyFont="0" applyFill="0" applyBorder="0" applyAlignment="0" applyProtection="0"/>
    <xf numFmtId="349" fontId="55" fillId="30" borderId="127" applyNumberFormat="0" applyProtection="0">
      <alignment horizontal="left" vertical="top" indent="1"/>
    </xf>
    <xf numFmtId="4" fontId="266" fillId="45" borderId="122" applyNumberFormat="0" applyProtection="0">
      <alignment vertical="center"/>
    </xf>
    <xf numFmtId="4" fontId="55" fillId="20" borderId="122" applyNumberFormat="0" applyProtection="0">
      <alignment horizontal="right" vertical="center"/>
    </xf>
    <xf numFmtId="349" fontId="55" fillId="61" borderId="122" applyNumberFormat="0" applyProtection="0">
      <alignment horizontal="left" vertical="center" indent="1"/>
    </xf>
    <xf numFmtId="4" fontId="55" fillId="28" borderId="122" applyNumberFormat="0" applyProtection="0">
      <alignment horizontal="right" vertical="center"/>
    </xf>
    <xf numFmtId="4" fontId="55" fillId="25" borderId="122" applyNumberFormat="0" applyProtection="0">
      <alignment horizontal="right" vertical="center"/>
    </xf>
    <xf numFmtId="4" fontId="55" fillId="130" borderId="122" applyNumberFormat="0" applyProtection="0">
      <alignment horizontal="right" vertical="center"/>
    </xf>
    <xf numFmtId="4" fontId="55" fillId="27" borderId="122" applyNumberFormat="0" applyProtection="0">
      <alignment horizontal="right" vertical="center"/>
    </xf>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2" borderId="122" applyNumberFormat="0" applyProtection="0">
      <alignment horizontal="left" vertical="center"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186" fillId="127" borderId="126" applyNumberFormat="0" applyAlignment="0" applyProtection="0"/>
    <xf numFmtId="4" fontId="55" fillId="19" borderId="122" applyNumberFormat="0" applyProtection="0">
      <alignment horizontal="right" vertical="center"/>
    </xf>
    <xf numFmtId="169" fontId="9" fillId="0" borderId="0" applyFont="0" applyFill="0" applyBorder="0" applyAlignment="0" applyProtection="0"/>
    <xf numFmtId="4" fontId="55" fillId="23" borderId="122" applyNumberFormat="0" applyProtection="0">
      <alignment horizontal="right" vertical="center"/>
    </xf>
    <xf numFmtId="349" fontId="11" fillId="19" borderId="127" applyNumberFormat="0" applyProtection="0">
      <alignment horizontal="left" vertical="top" indent="1"/>
    </xf>
    <xf numFmtId="349" fontId="144" fillId="14" borderId="122" applyNumberFormat="0" applyAlignment="0" applyProtection="0"/>
    <xf numFmtId="349" fontId="17" fillId="0" borderId="131" applyNumberFormat="0" applyFill="0" applyAlignment="0" applyProtection="0"/>
    <xf numFmtId="349" fontId="11" fillId="30" borderId="127" applyNumberFormat="0" applyProtection="0">
      <alignment horizontal="left" vertical="top" indent="1"/>
    </xf>
    <xf numFmtId="4" fontId="266" fillId="50" borderId="122" applyNumberFormat="0" applyProtection="0">
      <alignment horizontal="right" vertical="center"/>
    </xf>
    <xf numFmtId="4" fontId="55" fillId="45" borderId="122" applyNumberFormat="0" applyProtection="0">
      <alignment horizontal="left" vertical="center" indent="1"/>
    </xf>
    <xf numFmtId="349" fontId="55" fillId="30" borderId="127" applyNumberFormat="0" applyProtection="0">
      <alignment horizontal="left" vertical="top" indent="1"/>
    </xf>
    <xf numFmtId="4" fontId="55" fillId="64" borderId="122" applyNumberFormat="0" applyProtection="0">
      <alignment horizontal="left" vertical="center" indent="1"/>
    </xf>
    <xf numFmtId="349" fontId="55" fillId="13" borderId="122" applyNumberFormat="0" applyFont="0" applyAlignment="0" applyProtection="0"/>
    <xf numFmtId="349" fontId="55" fillId="13" borderId="122" applyNumberFormat="0" applyFont="0" applyAlignment="0" applyProtection="0"/>
    <xf numFmtId="349" fontId="264" fillId="127" borderId="122" applyNumberFormat="0" applyAlignment="0" applyProtection="0"/>
    <xf numFmtId="349" fontId="144" fillId="14" borderId="122" applyNumberFormat="0" applyAlignment="0" applyProtection="0"/>
    <xf numFmtId="349" fontId="55" fillId="13" borderId="122" applyNumberFormat="0" applyFont="0" applyAlignment="0" applyProtection="0"/>
    <xf numFmtId="349" fontId="186" fillId="127" borderId="126" applyNumberFormat="0" applyAlignment="0" applyProtection="0"/>
    <xf numFmtId="4" fontId="268" fillId="34" borderId="127" applyNumberFormat="0" applyProtection="0">
      <alignment vertical="center"/>
    </xf>
    <xf numFmtId="349" fontId="55" fillId="32" borderId="127" applyNumberFormat="0" applyProtection="0">
      <alignment horizontal="left" vertical="top" indent="1"/>
    </xf>
    <xf numFmtId="349" fontId="264" fillId="127" borderId="122" applyNumberFormat="0" applyAlignment="0" applyProtection="0"/>
    <xf numFmtId="349" fontId="55" fillId="13" borderId="122" applyNumberFormat="0" applyFont="0" applyAlignment="0" applyProtection="0"/>
    <xf numFmtId="4" fontId="55" fillId="0" borderId="122" applyNumberFormat="0" applyProtection="0">
      <alignment horizontal="right" vertical="center"/>
    </xf>
    <xf numFmtId="349" fontId="55" fillId="31" borderId="127" applyNumberFormat="0" applyProtection="0">
      <alignment horizontal="left" vertical="top" indent="1"/>
    </xf>
    <xf numFmtId="349" fontId="55" fillId="30" borderId="127" applyNumberFormat="0" applyProtection="0">
      <alignment horizontal="left" vertical="top" indent="1"/>
    </xf>
    <xf numFmtId="4" fontId="269" fillId="35" borderId="128" applyNumberFormat="0" applyProtection="0">
      <alignment horizontal="left" vertical="center" indent="1"/>
    </xf>
    <xf numFmtId="349" fontId="144" fillId="14" borderId="122" applyNumberFormat="0" applyAlignment="0" applyProtection="0"/>
    <xf numFmtId="349" fontId="55" fillId="19" borderId="127" applyNumberFormat="0" applyProtection="0">
      <alignment horizontal="left" vertical="top" indent="1"/>
    </xf>
    <xf numFmtId="349" fontId="55" fillId="30" borderId="127" applyNumberFormat="0" applyProtection="0">
      <alignment horizontal="left" vertical="top" indent="1"/>
    </xf>
    <xf numFmtId="349" fontId="55" fillId="30" borderId="122" applyNumberFormat="0" applyProtection="0">
      <alignment horizontal="left" vertical="center" indent="1"/>
    </xf>
    <xf numFmtId="4" fontId="55" fillId="20" borderId="122" applyNumberFormat="0" applyProtection="0">
      <alignment horizontal="right" vertical="center"/>
    </xf>
    <xf numFmtId="4" fontId="55" fillId="0" borderId="122" applyNumberFormat="0" applyProtection="0">
      <alignment horizontal="right" vertical="center"/>
    </xf>
    <xf numFmtId="214" fontId="66" fillId="0" borderId="28" applyFill="0"/>
    <xf numFmtId="349" fontId="55" fillId="13" borderId="122" applyNumberFormat="0" applyFont="0" applyAlignment="0" applyProtection="0"/>
    <xf numFmtId="4" fontId="55" fillId="64" borderId="122" applyNumberFormat="0" applyProtection="0">
      <alignment horizontal="left" vertical="center" indent="1"/>
    </xf>
    <xf numFmtId="349" fontId="55" fillId="13" borderId="122" applyNumberFormat="0" applyFont="0" applyAlignment="0" applyProtection="0"/>
    <xf numFmtId="349" fontId="55" fillId="13" borderId="122" applyNumberFormat="0" applyFont="0" applyAlignment="0" applyProtection="0"/>
    <xf numFmtId="349" fontId="55" fillId="31" borderId="127" applyNumberFormat="0" applyProtection="0">
      <alignment horizontal="left" vertical="top"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3" borderId="122" applyNumberFormat="0" applyFont="0" applyAlignment="0" applyProtection="0"/>
    <xf numFmtId="4" fontId="55" fillId="24" borderId="122" applyNumberFormat="0" applyProtection="0">
      <alignment horizontal="right" vertical="center"/>
    </xf>
    <xf numFmtId="349" fontId="55" fillId="32" borderId="127" applyNumberFormat="0" applyProtection="0">
      <alignment horizontal="left" vertical="top" indent="1"/>
    </xf>
    <xf numFmtId="4" fontId="55" fillId="64" borderId="122" applyNumberFormat="0" applyProtection="0">
      <alignment horizontal="left" vertical="center" indent="1"/>
    </xf>
    <xf numFmtId="349" fontId="55" fillId="31" borderId="127" applyNumberFormat="0" applyProtection="0">
      <alignment horizontal="left" vertical="top" indent="1"/>
    </xf>
    <xf numFmtId="349" fontId="264" fillId="127" borderId="122" applyNumberFormat="0" applyAlignment="0" applyProtection="0"/>
    <xf numFmtId="4" fontId="268" fillId="61" borderId="127" applyNumberFormat="0" applyProtection="0">
      <alignment horizontal="left" vertical="center" indent="1"/>
    </xf>
    <xf numFmtId="349" fontId="17" fillId="0" borderId="131" applyNumberFormat="0" applyFill="0" applyAlignment="0" applyProtection="0"/>
    <xf numFmtId="349" fontId="55" fillId="13" borderId="122" applyNumberFormat="0" applyFont="0" applyAlignment="0" applyProtection="0"/>
    <xf numFmtId="349" fontId="55" fillId="31" borderId="127" applyNumberFormat="0" applyProtection="0">
      <alignment horizontal="left" vertical="top" indent="1"/>
    </xf>
    <xf numFmtId="4" fontId="55" fillId="64" borderId="122" applyNumberFormat="0" applyProtection="0">
      <alignment horizontal="left" vertical="center" indent="1"/>
    </xf>
    <xf numFmtId="349" fontId="264" fillId="127" borderId="122" applyNumberFormat="0" applyAlignment="0" applyProtection="0"/>
    <xf numFmtId="4" fontId="270" fillId="33" borderId="122" applyNumberFormat="0" applyProtection="0">
      <alignment horizontal="right" vertical="center"/>
    </xf>
    <xf numFmtId="349" fontId="95" fillId="31" borderId="129" applyBorder="0"/>
    <xf numFmtId="349" fontId="55" fillId="13" borderId="122" applyNumberFormat="0" applyFont="0" applyAlignment="0" applyProtection="0"/>
    <xf numFmtId="4" fontId="55" fillId="64" borderId="122" applyNumberFormat="0" applyProtection="0">
      <alignment horizontal="left" vertical="center"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13" borderId="122" applyNumberFormat="0" applyFont="0" applyAlignment="0" applyProtection="0"/>
    <xf numFmtId="349" fontId="186" fillId="127" borderId="126" applyNumberFormat="0" applyAlignment="0" applyProtection="0"/>
    <xf numFmtId="4" fontId="55" fillId="20" borderId="122" applyNumberFormat="0" applyProtection="0">
      <alignment horizontal="right" vertical="center"/>
    </xf>
    <xf numFmtId="349" fontId="55" fillId="31" borderId="127" applyNumberFormat="0" applyProtection="0">
      <alignment horizontal="left" vertical="top" indent="1"/>
    </xf>
    <xf numFmtId="349" fontId="95" fillId="31" borderId="129" applyBorder="0"/>
    <xf numFmtId="4" fontId="55" fillId="28" borderId="122" applyNumberFormat="0" applyProtection="0">
      <alignment horizontal="right" vertical="center"/>
    </xf>
    <xf numFmtId="349" fontId="55" fillId="31" borderId="127" applyNumberFormat="0" applyProtection="0">
      <alignment horizontal="left" vertical="top" indent="1"/>
    </xf>
    <xf numFmtId="349" fontId="55" fillId="30" borderId="127" applyNumberFormat="0" applyProtection="0">
      <alignment horizontal="left" vertical="top" indent="1"/>
    </xf>
    <xf numFmtId="4" fontId="55" fillId="26" borderId="122" applyNumberFormat="0" applyProtection="0">
      <alignment horizontal="right" vertical="center"/>
    </xf>
    <xf numFmtId="349" fontId="55" fillId="32" borderId="127" applyNumberFormat="0" applyProtection="0">
      <alignment horizontal="left" vertical="top" indent="1"/>
    </xf>
    <xf numFmtId="349" fontId="11" fillId="32" borderId="127" applyNumberFormat="0" applyProtection="0">
      <alignment horizontal="left" vertical="center" indent="1"/>
    </xf>
    <xf numFmtId="4" fontId="55" fillId="0" borderId="122" applyNumberFormat="0" applyProtection="0">
      <alignment horizontal="right" vertical="center"/>
    </xf>
    <xf numFmtId="349" fontId="55" fillId="19" borderId="127" applyNumberFormat="0" applyProtection="0">
      <alignment horizontal="left" vertical="top" indent="1"/>
    </xf>
    <xf numFmtId="349" fontId="264" fillId="127" borderId="122" applyNumberFormat="0" applyAlignment="0" applyProtection="0"/>
    <xf numFmtId="349" fontId="144" fillId="14" borderId="122" applyNumberFormat="0" applyAlignment="0" applyProtection="0"/>
    <xf numFmtId="4" fontId="55" fillId="45" borderId="122" applyNumberFormat="0" applyProtection="0">
      <alignment horizontal="left" vertical="center" indent="1"/>
    </xf>
    <xf numFmtId="4" fontId="268" fillId="61" borderId="127" applyNumberFormat="0" applyProtection="0">
      <alignment horizontal="left" vertical="center" indent="1"/>
    </xf>
    <xf numFmtId="4" fontId="55" fillId="28" borderId="122" applyNumberFormat="0" applyProtection="0">
      <alignment horizontal="right" vertical="center"/>
    </xf>
    <xf numFmtId="4" fontId="266" fillId="50" borderId="122" applyNumberFormat="0" applyProtection="0">
      <alignment horizontal="right" vertical="center"/>
    </xf>
    <xf numFmtId="349" fontId="55" fillId="13" borderId="122" applyNumberFormat="0" applyFont="0" applyAlignment="0" applyProtection="0"/>
    <xf numFmtId="349" fontId="144" fillId="14" borderId="122" applyNumberFormat="0" applyAlignment="0" applyProtection="0"/>
    <xf numFmtId="349" fontId="55" fillId="13" borderId="122" applyNumberFormat="0" applyFont="0" applyAlignment="0" applyProtection="0"/>
    <xf numFmtId="4" fontId="270" fillId="33" borderId="122" applyNumberFormat="0" applyProtection="0">
      <alignment horizontal="right" vertical="center"/>
    </xf>
    <xf numFmtId="349" fontId="264" fillId="127" borderId="122"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4" fontId="55" fillId="0" borderId="122" applyNumberFormat="0" applyProtection="0">
      <alignment horizontal="right" vertical="center"/>
    </xf>
    <xf numFmtId="169" fontId="14" fillId="0" borderId="0" applyFont="0" applyFill="0" applyBorder="0" applyAlignment="0" applyProtection="0"/>
    <xf numFmtId="349" fontId="55" fillId="13" borderId="122" applyNumberFormat="0" applyFont="0" applyAlignment="0" applyProtection="0"/>
    <xf numFmtId="349" fontId="264" fillId="127" borderId="122" applyNumberFormat="0" applyAlignment="0" applyProtection="0"/>
    <xf numFmtId="349" fontId="268" fillId="34" borderId="127" applyNumberFormat="0" applyProtection="0">
      <alignment horizontal="left" vertical="top" indent="1"/>
    </xf>
    <xf numFmtId="349" fontId="11" fillId="30" borderId="127" applyNumberFormat="0" applyProtection="0">
      <alignment horizontal="left" vertical="center" indent="1"/>
    </xf>
    <xf numFmtId="4" fontId="270" fillId="33" borderId="122" applyNumberFormat="0" applyProtection="0">
      <alignment horizontal="right" vertical="center"/>
    </xf>
    <xf numFmtId="349" fontId="55" fillId="30" borderId="122" applyNumberFormat="0" applyProtection="0">
      <alignment horizontal="left" vertical="center" indent="1"/>
    </xf>
    <xf numFmtId="349" fontId="55" fillId="83" borderId="122" applyNumberFormat="0" applyProtection="0">
      <alignment horizontal="left" vertical="center" indent="1"/>
    </xf>
    <xf numFmtId="4" fontId="55" fillId="20" borderId="122" applyNumberFormat="0" applyProtection="0">
      <alignment horizontal="right" vertical="center"/>
    </xf>
    <xf numFmtId="349" fontId="55" fillId="19" borderId="127" applyNumberFormat="0" applyProtection="0">
      <alignment horizontal="left" vertical="top" indent="1"/>
    </xf>
    <xf numFmtId="349" fontId="55" fillId="83" borderId="122" applyNumberFormat="0" applyProtection="0">
      <alignment horizontal="left" vertical="center" indent="1"/>
    </xf>
    <xf numFmtId="349" fontId="55" fillId="13" borderId="122" applyNumberFormat="0" applyFont="0" applyAlignment="0" applyProtection="0"/>
    <xf numFmtId="349" fontId="55" fillId="31" borderId="127" applyNumberFormat="0" applyProtection="0">
      <alignment horizontal="left" vertical="top" indent="1"/>
    </xf>
    <xf numFmtId="349" fontId="55" fillId="30" borderId="127" applyNumberFormat="0" applyProtection="0">
      <alignment horizontal="left" vertical="top" indent="1"/>
    </xf>
    <xf numFmtId="349" fontId="55" fillId="13" borderId="122" applyNumberFormat="0" applyFont="0" applyAlignment="0" applyProtection="0"/>
    <xf numFmtId="4" fontId="55" fillId="23" borderId="122" applyNumberFormat="0" applyProtection="0">
      <alignment horizontal="right" vertical="center"/>
    </xf>
    <xf numFmtId="349" fontId="55" fillId="32" borderId="122" applyNumberFormat="0" applyProtection="0">
      <alignment horizontal="left" vertical="center" indent="1"/>
    </xf>
    <xf numFmtId="349" fontId="55" fillId="30" borderId="127" applyNumberFormat="0" applyProtection="0">
      <alignment horizontal="left" vertical="top" indent="1"/>
    </xf>
    <xf numFmtId="4" fontId="55" fillId="19" borderId="122" applyNumberFormat="0" applyProtection="0">
      <alignment horizontal="right" vertical="center"/>
    </xf>
    <xf numFmtId="349" fontId="268" fillId="34" borderId="127" applyNumberFormat="0" applyProtection="0">
      <alignment horizontal="left" vertical="top" indent="1"/>
    </xf>
    <xf numFmtId="349" fontId="17" fillId="0" borderId="131" applyNumberFormat="0" applyFill="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31" borderId="127" applyNumberFormat="0" applyProtection="0">
      <alignment horizontal="left" vertical="top" indent="1"/>
    </xf>
    <xf numFmtId="349" fontId="55" fillId="30" borderId="127" applyNumberFormat="0" applyProtection="0">
      <alignment horizontal="left" vertical="top" indent="1"/>
    </xf>
    <xf numFmtId="37" fontId="66" fillId="0" borderId="130" applyNumberFormat="0"/>
    <xf numFmtId="349" fontId="55" fillId="19" borderId="127" applyNumberFormat="0" applyProtection="0">
      <alignment horizontal="left" vertical="top" indent="1"/>
    </xf>
    <xf numFmtId="349" fontId="55" fillId="13" borderId="122" applyNumberFormat="0" applyFont="0" applyAlignment="0" applyProtection="0"/>
    <xf numFmtId="349" fontId="55" fillId="30" borderId="127" applyNumberFormat="0" applyProtection="0">
      <alignment horizontal="left" vertical="top" indent="1"/>
    </xf>
    <xf numFmtId="349" fontId="264" fillId="127" borderId="122" applyNumberFormat="0" applyAlignment="0" applyProtection="0"/>
    <xf numFmtId="349" fontId="55" fillId="31" borderId="127" applyNumberFormat="0" applyProtection="0">
      <alignment horizontal="left" vertical="top" indent="1"/>
    </xf>
    <xf numFmtId="349" fontId="55" fillId="32" borderId="127" applyNumberFormat="0" applyProtection="0">
      <alignment horizontal="left" vertical="top" indent="1"/>
    </xf>
    <xf numFmtId="4" fontId="268" fillId="34" borderId="127" applyNumberFormat="0" applyProtection="0">
      <alignment vertical="center"/>
    </xf>
    <xf numFmtId="37" fontId="66" fillId="0" borderId="130" applyNumberFormat="0"/>
    <xf numFmtId="349" fontId="55" fillId="13" borderId="122" applyNumberFormat="0" applyFont="0" applyAlignment="0" applyProtection="0"/>
    <xf numFmtId="349" fontId="55" fillId="31" borderId="127" applyNumberFormat="0" applyProtection="0">
      <alignment horizontal="left" vertical="top" indent="1"/>
    </xf>
    <xf numFmtId="4" fontId="55" fillId="20" borderId="122" applyNumberFormat="0" applyProtection="0">
      <alignment horizontal="right" vertical="center"/>
    </xf>
    <xf numFmtId="349" fontId="144" fillId="14" borderId="122" applyNumberFormat="0" applyAlignment="0" applyProtection="0"/>
    <xf numFmtId="4" fontId="266" fillId="50" borderId="122" applyNumberFormat="0" applyProtection="0">
      <alignment horizontal="right" vertical="center"/>
    </xf>
    <xf numFmtId="349" fontId="55" fillId="31" borderId="127" applyNumberFormat="0" applyProtection="0">
      <alignment horizontal="left" vertical="top" indent="1"/>
    </xf>
    <xf numFmtId="4" fontId="269" fillId="35" borderId="128" applyNumberFormat="0" applyProtection="0">
      <alignment horizontal="left" vertical="center"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4" fontId="55" fillId="30" borderId="128" applyNumberFormat="0" applyProtection="0">
      <alignment horizontal="left" vertical="center" indent="1"/>
    </xf>
    <xf numFmtId="349" fontId="268" fillId="34" borderId="127" applyNumberFormat="0" applyProtection="0">
      <alignment horizontal="left" vertical="top" indent="1"/>
    </xf>
    <xf numFmtId="349" fontId="55" fillId="31" borderId="127" applyNumberFormat="0" applyProtection="0">
      <alignment horizontal="left" vertical="top" indent="1"/>
    </xf>
    <xf numFmtId="4" fontId="55" fillId="18" borderId="122" applyNumberFormat="0" applyProtection="0">
      <alignment vertical="center"/>
    </xf>
    <xf numFmtId="4" fontId="55" fillId="64" borderId="122" applyNumberFormat="0" applyProtection="0">
      <alignment horizontal="left" vertical="center" indent="1"/>
    </xf>
    <xf numFmtId="4" fontId="11" fillId="31" borderId="128" applyNumberFormat="0" applyProtection="0">
      <alignment horizontal="left" vertical="center" indent="1"/>
    </xf>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30" borderId="127" applyNumberFormat="0" applyProtection="0">
      <alignment horizontal="left" vertical="top" indent="1"/>
    </xf>
    <xf numFmtId="4" fontId="268" fillId="61" borderId="127" applyNumberFormat="0" applyProtection="0">
      <alignment horizontal="left" vertical="center" indent="1"/>
    </xf>
    <xf numFmtId="4" fontId="266" fillId="50" borderId="122" applyNumberFormat="0" applyProtection="0">
      <alignment horizontal="right" vertical="center"/>
    </xf>
    <xf numFmtId="349" fontId="55" fillId="13" borderId="122" applyNumberFormat="0" applyFont="0" applyAlignment="0" applyProtection="0"/>
    <xf numFmtId="349" fontId="55" fillId="30" borderId="127" applyNumberFormat="0" applyProtection="0">
      <alignment horizontal="left" vertical="top" indent="1"/>
    </xf>
    <xf numFmtId="349" fontId="55" fillId="19" borderId="127" applyNumberFormat="0" applyProtection="0">
      <alignment horizontal="left" vertical="top" indent="1"/>
    </xf>
    <xf numFmtId="4" fontId="270" fillId="33" borderId="122" applyNumberFormat="0" applyProtection="0">
      <alignment horizontal="right" vertical="center"/>
    </xf>
    <xf numFmtId="37" fontId="66" fillId="0" borderId="130" applyNumberFormat="0"/>
    <xf numFmtId="349" fontId="17" fillId="0" borderId="131" applyNumberFormat="0" applyFill="0" applyAlignment="0" applyProtection="0"/>
    <xf numFmtId="349" fontId="17" fillId="0" borderId="131" applyNumberFormat="0" applyFill="0" applyAlignment="0" applyProtection="0"/>
    <xf numFmtId="349" fontId="55" fillId="30" borderId="122" applyNumberFormat="0" applyProtection="0">
      <alignment horizontal="left" vertical="center" indent="1"/>
    </xf>
    <xf numFmtId="349" fontId="264" fillId="127" borderId="122" applyNumberFormat="0" applyAlignment="0" applyProtection="0"/>
    <xf numFmtId="349" fontId="264" fillId="127" borderId="122" applyNumberFormat="0" applyAlignment="0" applyProtection="0"/>
    <xf numFmtId="214" fontId="66" fillId="0" borderId="28" applyFill="0"/>
    <xf numFmtId="4" fontId="55" fillId="0" borderId="122" applyNumberFormat="0" applyProtection="0">
      <alignment horizontal="right" vertical="center"/>
    </xf>
    <xf numFmtId="4" fontId="266" fillId="50" borderId="122" applyNumberFormat="0" applyProtection="0">
      <alignment horizontal="right" vertical="center"/>
    </xf>
    <xf numFmtId="4" fontId="55" fillId="64" borderId="122" applyNumberFormat="0" applyProtection="0">
      <alignment horizontal="left" vertical="center" indent="1"/>
    </xf>
    <xf numFmtId="4" fontId="270" fillId="33" borderId="122" applyNumberFormat="0" applyProtection="0">
      <alignment horizontal="right" vertical="center"/>
    </xf>
    <xf numFmtId="349" fontId="55" fillId="32" borderId="127" applyNumberFormat="0" applyProtection="0">
      <alignment horizontal="left" vertical="top" indent="1"/>
    </xf>
    <xf numFmtId="4" fontId="268" fillId="61" borderId="127" applyNumberFormat="0" applyProtection="0">
      <alignment horizontal="left" vertical="center" indent="1"/>
    </xf>
    <xf numFmtId="4" fontId="268" fillId="34" borderId="127" applyNumberFormat="0" applyProtection="0">
      <alignment vertical="center"/>
    </xf>
    <xf numFmtId="349" fontId="11" fillId="32" borderId="127" applyNumberFormat="0" applyProtection="0">
      <alignment horizontal="left" vertical="top" indent="1"/>
    </xf>
    <xf numFmtId="349" fontId="55" fillId="32" borderId="122" applyNumberFormat="0" applyProtection="0">
      <alignment horizontal="left" vertical="center" indent="1"/>
    </xf>
    <xf numFmtId="349" fontId="55" fillId="31" borderId="127" applyNumberFormat="0" applyProtection="0">
      <alignment horizontal="left" vertical="top" indent="1"/>
    </xf>
    <xf numFmtId="349" fontId="55" fillId="13" borderId="122" applyNumberFormat="0" applyFont="0" applyAlignment="0" applyProtection="0"/>
    <xf numFmtId="349" fontId="55" fillId="30" borderId="127" applyNumberFormat="0" applyProtection="0">
      <alignment horizontal="left" vertical="top" indent="1"/>
    </xf>
    <xf numFmtId="349" fontId="55" fillId="19" borderId="127" applyNumberFormat="0" applyProtection="0">
      <alignment horizontal="left" vertical="top" indent="1"/>
    </xf>
    <xf numFmtId="349" fontId="264" fillId="127" borderId="122" applyNumberFormat="0" applyAlignment="0" applyProtection="0"/>
    <xf numFmtId="349" fontId="17" fillId="0" borderId="131" applyNumberFormat="0" applyFill="0" applyAlignment="0" applyProtection="0"/>
    <xf numFmtId="349" fontId="17" fillId="0" borderId="131" applyNumberFormat="0" applyFill="0" applyAlignment="0" applyProtection="0"/>
    <xf numFmtId="37" fontId="66" fillId="0" borderId="130" applyNumberFormat="0"/>
    <xf numFmtId="4" fontId="270" fillId="33" borderId="122" applyNumberFormat="0" applyProtection="0">
      <alignment horizontal="right" vertical="center"/>
    </xf>
    <xf numFmtId="4" fontId="269" fillId="35" borderId="128" applyNumberFormat="0" applyProtection="0">
      <alignment horizontal="left" vertical="center" indent="1"/>
    </xf>
    <xf numFmtId="349" fontId="268" fillId="19" borderId="127" applyNumberFormat="0" applyProtection="0">
      <alignment horizontal="left" vertical="top" indent="1"/>
    </xf>
    <xf numFmtId="4" fontId="55" fillId="64" borderId="122" applyNumberFormat="0" applyProtection="0">
      <alignment horizontal="left" vertical="center" indent="1"/>
    </xf>
    <xf numFmtId="4" fontId="266" fillId="50" borderId="122" applyNumberFormat="0" applyProtection="0">
      <alignment horizontal="right" vertical="center"/>
    </xf>
    <xf numFmtId="4" fontId="55" fillId="0" borderId="122" applyNumberFormat="0" applyProtection="0">
      <alignment horizontal="right" vertical="center"/>
    </xf>
    <xf numFmtId="349" fontId="268" fillId="34"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1" fillId="30"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center"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83" borderId="122"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19" borderId="128" applyNumberFormat="0" applyProtection="0">
      <alignment horizontal="left" vertical="center" indent="1"/>
    </xf>
    <xf numFmtId="4" fontId="55" fillId="30" borderId="128" applyNumberFormat="0" applyProtection="0">
      <alignment horizontal="left" vertical="center" indent="1"/>
    </xf>
    <xf numFmtId="4" fontId="55" fillId="19" borderId="122" applyNumberFormat="0" applyProtection="0">
      <alignment horizontal="right" vertical="center"/>
    </xf>
    <xf numFmtId="4" fontId="11" fillId="31" borderId="128" applyNumberFormat="0" applyProtection="0">
      <alignment horizontal="left" vertical="center" indent="1"/>
    </xf>
    <xf numFmtId="4" fontId="11" fillId="31" borderId="128" applyNumberFormat="0" applyProtection="0">
      <alignment horizontal="left" vertical="center" indent="1"/>
    </xf>
    <xf numFmtId="4" fontId="55" fillId="29" borderId="128" applyNumberFormat="0" applyProtection="0">
      <alignment horizontal="left" vertical="center" indent="1"/>
    </xf>
    <xf numFmtId="4" fontId="55" fillId="28" borderId="122" applyNumberFormat="0" applyProtection="0">
      <alignment horizontal="right" vertical="center"/>
    </xf>
    <xf numFmtId="4" fontId="55" fillId="27" borderId="122" applyNumberFormat="0" applyProtection="0">
      <alignment horizontal="right" vertical="center"/>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22" borderId="128" applyNumberFormat="0" applyProtection="0">
      <alignment horizontal="right" vertical="center"/>
    </xf>
    <xf numFmtId="4" fontId="55" fillId="130" borderId="122" applyNumberFormat="0" applyProtection="0">
      <alignment horizontal="right" vertical="center"/>
    </xf>
    <xf numFmtId="4" fontId="55" fillId="20" borderId="122" applyNumberFormat="0" applyProtection="0">
      <alignment horizontal="right" vertical="center"/>
    </xf>
    <xf numFmtId="4" fontId="55" fillId="64" borderId="122" applyNumberFormat="0" applyProtection="0">
      <alignment horizontal="left" vertical="center" indent="1"/>
    </xf>
    <xf numFmtId="349" fontId="267" fillId="18" borderId="127" applyNumberFormat="0" applyProtection="0">
      <alignment horizontal="left" vertical="top" indent="1"/>
    </xf>
    <xf numFmtId="4" fontId="55" fillId="45" borderId="122" applyNumberFormat="0" applyProtection="0">
      <alignment horizontal="left" vertical="center" indent="1"/>
    </xf>
    <xf numFmtId="4" fontId="266" fillId="45" borderId="122" applyNumberFormat="0" applyProtection="0">
      <alignment vertical="center"/>
    </xf>
    <xf numFmtId="4" fontId="55" fillId="18" borderId="122" applyNumberFormat="0" applyProtection="0">
      <alignment vertical="center"/>
    </xf>
    <xf numFmtId="349" fontId="186" fillId="127" borderId="126" applyNumberFormat="0" applyAlignment="0" applyProtection="0"/>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44" fillId="14" borderId="122" applyNumberFormat="0" applyAlignment="0" applyProtection="0"/>
    <xf numFmtId="349" fontId="144" fillId="14" borderId="122" applyNumberFormat="0" applyAlignment="0" applyProtection="0"/>
    <xf numFmtId="349" fontId="264" fillId="127" borderId="122" applyNumberFormat="0" applyAlignment="0" applyProtection="0"/>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11" fillId="19" borderId="127" applyNumberFormat="0" applyProtection="0">
      <alignment horizontal="left" vertical="top" indent="1"/>
    </xf>
    <xf numFmtId="349" fontId="55" fillId="31" borderId="127" applyNumberFormat="0" applyProtection="0">
      <alignment horizontal="left" vertical="top" indent="1"/>
    </xf>
    <xf numFmtId="349" fontId="95" fillId="31" borderId="129" applyBorder="0"/>
    <xf numFmtId="349" fontId="55" fillId="13" borderId="122" applyNumberFormat="0" applyFont="0" applyAlignment="0" applyProtection="0"/>
    <xf numFmtId="349" fontId="55" fillId="30" borderId="127" applyNumberFormat="0" applyProtection="0">
      <alignment horizontal="left" vertical="top" indent="1"/>
    </xf>
    <xf numFmtId="349" fontId="11" fillId="30" borderId="127" applyNumberFormat="0" applyProtection="0">
      <alignment horizontal="left" vertical="center"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11" fillId="30" borderId="127" applyNumberFormat="0" applyProtection="0">
      <alignment horizontal="left" vertical="top" indent="1"/>
    </xf>
    <xf numFmtId="4" fontId="266" fillId="50" borderId="122" applyNumberFormat="0" applyProtection="0">
      <alignment horizontal="right" vertical="center"/>
    </xf>
    <xf numFmtId="4" fontId="55" fillId="64" borderId="122" applyNumberFormat="0" applyProtection="0">
      <alignment horizontal="left" vertical="center" indent="1"/>
    </xf>
    <xf numFmtId="349" fontId="268" fillId="19" borderId="127" applyNumberFormat="0" applyProtection="0">
      <alignment horizontal="left" vertical="top" indent="1"/>
    </xf>
    <xf numFmtId="4" fontId="269" fillId="35" borderId="128" applyNumberFormat="0" applyProtection="0">
      <alignment horizontal="left" vertical="center" indent="1"/>
    </xf>
    <xf numFmtId="37" fontId="66" fillId="0" borderId="130" applyNumberFormat="0"/>
    <xf numFmtId="349" fontId="17" fillId="0" borderId="131" applyNumberFormat="0" applyFill="0" applyAlignment="0" applyProtection="0"/>
    <xf numFmtId="349" fontId="55" fillId="32" borderId="127" applyNumberFormat="0" applyProtection="0">
      <alignment horizontal="left" vertical="top" indent="1"/>
    </xf>
    <xf numFmtId="349" fontId="55" fillId="19" borderId="127" applyNumberFormat="0" applyProtection="0">
      <alignment horizontal="left" vertical="top" indent="1"/>
    </xf>
    <xf numFmtId="4" fontId="55" fillId="23" borderId="122" applyNumberFormat="0" applyProtection="0">
      <alignment horizontal="right" vertical="center"/>
    </xf>
    <xf numFmtId="349" fontId="55" fillId="83" borderId="122" applyNumberFormat="0" applyProtection="0">
      <alignment horizontal="left" vertical="center"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4" fontId="55" fillId="64" borderId="122" applyNumberFormat="0" applyProtection="0">
      <alignment horizontal="left" vertical="center" indent="1"/>
    </xf>
    <xf numFmtId="349" fontId="55" fillId="30" borderId="122" applyNumberFormat="0" applyProtection="0">
      <alignment horizontal="left" vertical="center" indent="1"/>
    </xf>
    <xf numFmtId="214" fontId="66" fillId="0" borderId="28" applyFill="0"/>
    <xf numFmtId="4" fontId="268" fillId="34" borderId="127" applyNumberFormat="0" applyProtection="0">
      <alignment vertical="center"/>
    </xf>
    <xf numFmtId="349" fontId="17" fillId="0" borderId="131" applyNumberFormat="0" applyFill="0" applyAlignment="0" applyProtection="0"/>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349" fontId="55" fillId="61" borderId="122" applyNumberFormat="0" applyProtection="0">
      <alignment horizontal="left" vertical="center" indent="1"/>
    </xf>
    <xf numFmtId="4" fontId="55" fillId="26" borderId="122" applyNumberFormat="0" applyProtection="0">
      <alignment horizontal="right" vertical="center"/>
    </xf>
    <xf numFmtId="4" fontId="55" fillId="25" borderId="122" applyNumberFormat="0" applyProtection="0">
      <alignment horizontal="right" vertical="center"/>
    </xf>
    <xf numFmtId="4" fontId="55" fillId="24" borderId="122" applyNumberFormat="0" applyProtection="0">
      <alignment horizontal="right" vertical="center"/>
    </xf>
    <xf numFmtId="4" fontId="55" fillId="23" borderId="122" applyNumberFormat="0" applyProtection="0">
      <alignment horizontal="right" vertical="center"/>
    </xf>
    <xf numFmtId="4" fontId="55" fillId="18" borderId="122" applyNumberFormat="0" applyProtection="0">
      <alignment vertical="center"/>
    </xf>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144" fillId="14" borderId="122" applyNumberFormat="0" applyAlignment="0" applyProtection="0"/>
    <xf numFmtId="349" fontId="11" fillId="30" borderId="127" applyNumberFormat="0" applyProtection="0">
      <alignment horizontal="left" vertical="center" indent="1"/>
    </xf>
    <xf numFmtId="349" fontId="264" fillId="127" borderId="122" applyNumberFormat="0" applyAlignment="0" applyProtection="0"/>
    <xf numFmtId="349" fontId="55" fillId="30" borderId="122" applyNumberFormat="0" applyProtection="0">
      <alignment horizontal="left" vertical="center" indent="1"/>
    </xf>
    <xf numFmtId="349" fontId="55" fillId="32" borderId="127" applyNumberFormat="0" applyProtection="0">
      <alignment horizontal="left" vertical="top" indent="1"/>
    </xf>
    <xf numFmtId="37" fontId="66" fillId="0" borderId="130" applyNumberFormat="0"/>
    <xf numFmtId="349" fontId="55" fillId="13" borderId="122" applyNumberFormat="0" applyFont="0" applyAlignment="0" applyProtection="0"/>
    <xf numFmtId="4" fontId="269" fillId="35" borderId="128" applyNumberFormat="0" applyProtection="0">
      <alignment horizontal="left" vertical="center" indent="1"/>
    </xf>
    <xf numFmtId="169" fontId="14" fillId="0" borderId="0" applyFont="0" applyFill="0" applyBorder="0" applyAlignment="0" applyProtection="0"/>
    <xf numFmtId="349" fontId="55" fillId="13" borderId="122" applyNumberFormat="0" applyFont="0" applyAlignment="0" applyProtection="0"/>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4" fontId="268" fillId="34" borderId="127" applyNumberFormat="0" applyProtection="0">
      <alignment vertical="center"/>
    </xf>
    <xf numFmtId="4" fontId="270" fillId="33" borderId="122" applyNumberFormat="0" applyProtection="0">
      <alignment horizontal="right" vertical="center"/>
    </xf>
    <xf numFmtId="349" fontId="17" fillId="0" borderId="131" applyNumberFormat="0" applyFill="0" applyAlignment="0" applyProtection="0"/>
    <xf numFmtId="349" fontId="11" fillId="30" borderId="127" applyNumberFormat="0" applyProtection="0">
      <alignment horizontal="left" vertical="top" indent="1"/>
    </xf>
    <xf numFmtId="4" fontId="55" fillId="26" borderId="122" applyNumberFormat="0" applyProtection="0">
      <alignment horizontal="right" vertical="center"/>
    </xf>
    <xf numFmtId="4" fontId="270" fillId="33" borderId="122" applyNumberFormat="0" applyProtection="0">
      <alignment horizontal="right" vertical="center"/>
    </xf>
    <xf numFmtId="349" fontId="17" fillId="0" borderId="131" applyNumberFormat="0" applyFill="0" applyAlignment="0" applyProtection="0"/>
    <xf numFmtId="349" fontId="11" fillId="30" borderId="127" applyNumberFormat="0" applyProtection="0">
      <alignment horizontal="left" vertical="center" indent="1"/>
    </xf>
    <xf numFmtId="349" fontId="55" fillId="19" borderId="127" applyNumberFormat="0" applyProtection="0">
      <alignment horizontal="left" vertical="top" indent="1"/>
    </xf>
    <xf numFmtId="349" fontId="264" fillId="127" borderId="122" applyNumberFormat="0" applyAlignment="0" applyProtection="0"/>
    <xf numFmtId="4" fontId="55" fillId="24" borderId="122" applyNumberFormat="0" applyProtection="0">
      <alignment horizontal="right" vertical="center"/>
    </xf>
    <xf numFmtId="214" fontId="66" fillId="0" borderId="28" applyFill="0"/>
    <xf numFmtId="349" fontId="55" fillId="13" borderId="122" applyNumberFormat="0" applyFont="0" applyAlignment="0" applyProtection="0"/>
    <xf numFmtId="349" fontId="268" fillId="34" borderId="127" applyNumberFormat="0" applyProtection="0">
      <alignment horizontal="left" vertical="top" indent="1"/>
    </xf>
    <xf numFmtId="4" fontId="268" fillId="34" borderId="127" applyNumberFormat="0" applyProtection="0">
      <alignment vertical="center"/>
    </xf>
    <xf numFmtId="349" fontId="55" fillId="13" borderId="122" applyNumberFormat="0" applyFont="0" applyAlignment="0" applyProtection="0"/>
    <xf numFmtId="349" fontId="55" fillId="13" borderId="122" applyNumberFormat="0" applyFont="0" applyAlignment="0" applyProtection="0"/>
    <xf numFmtId="349" fontId="267" fillId="18" borderId="127" applyNumberFormat="0" applyProtection="0">
      <alignment horizontal="left" vertical="top" indent="1"/>
    </xf>
    <xf numFmtId="4" fontId="55" fillId="25" borderId="122" applyNumberFormat="0" applyProtection="0">
      <alignment horizontal="right" vertical="center"/>
    </xf>
    <xf numFmtId="4" fontId="55" fillId="19" borderId="122" applyNumberFormat="0" applyProtection="0">
      <alignment horizontal="right" vertical="center"/>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11" fillId="32" borderId="127" applyNumberFormat="0" applyProtection="0">
      <alignment horizontal="left" vertical="center" indent="1"/>
    </xf>
    <xf numFmtId="349" fontId="144" fillId="14" borderId="122" applyNumberFormat="0" applyAlignment="0" applyProtection="0"/>
    <xf numFmtId="37" fontId="66" fillId="0" borderId="130" applyNumberFormat="0"/>
    <xf numFmtId="349" fontId="55" fillId="30" borderId="122" applyNumberFormat="0" applyProtection="0">
      <alignment horizontal="left" vertical="center"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11" fillId="19" borderId="127" applyNumberFormat="0" applyProtection="0">
      <alignment horizontal="left" vertical="top" indent="1"/>
    </xf>
    <xf numFmtId="349" fontId="55" fillId="31" borderId="127" applyNumberFormat="0" applyProtection="0">
      <alignment horizontal="left" vertical="top" indent="1"/>
    </xf>
    <xf numFmtId="4" fontId="55" fillId="29" borderId="128" applyNumberFormat="0" applyProtection="0">
      <alignment horizontal="left" vertical="center" indent="1"/>
    </xf>
    <xf numFmtId="349" fontId="144" fillId="14" borderId="122" applyNumberFormat="0" applyAlignment="0" applyProtection="0"/>
    <xf numFmtId="4" fontId="266" fillId="50" borderId="122" applyNumberFormat="0" applyProtection="0">
      <alignment horizontal="right" vertical="center"/>
    </xf>
    <xf numFmtId="4" fontId="268" fillId="34" borderId="127" applyNumberFormat="0" applyProtection="0">
      <alignment vertical="center"/>
    </xf>
    <xf numFmtId="349" fontId="55" fillId="30" borderId="127" applyNumberFormat="0" applyProtection="0">
      <alignment horizontal="left" vertical="top" indent="1"/>
    </xf>
    <xf numFmtId="4" fontId="268" fillId="61" borderId="127" applyNumberFormat="0" applyProtection="0">
      <alignment horizontal="left" vertical="center" indent="1"/>
    </xf>
    <xf numFmtId="349" fontId="11" fillId="30" borderId="127" applyNumberFormat="0" applyProtection="0">
      <alignment horizontal="left" vertical="center" indent="1"/>
    </xf>
    <xf numFmtId="4" fontId="55" fillId="64" borderId="122" applyNumberFormat="0" applyProtection="0">
      <alignment horizontal="left" vertical="center" indent="1"/>
    </xf>
    <xf numFmtId="349" fontId="55" fillId="32" borderId="122" applyNumberFormat="0" applyProtection="0">
      <alignment horizontal="left" vertical="center"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11" fillId="32" borderId="127" applyNumberFormat="0" applyProtection="0">
      <alignment horizontal="left" vertical="top" indent="1"/>
    </xf>
    <xf numFmtId="349" fontId="55" fillId="19" borderId="127" applyNumberFormat="0" applyProtection="0">
      <alignment horizontal="left" vertical="top" indent="1"/>
    </xf>
    <xf numFmtId="349" fontId="11" fillId="19" borderId="127" applyNumberFormat="0" applyProtection="0">
      <alignment horizontal="left" vertical="center"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4" fontId="55" fillId="27" borderId="122" applyNumberFormat="0" applyProtection="0">
      <alignment horizontal="right" vertical="center"/>
    </xf>
    <xf numFmtId="4" fontId="55" fillId="30" borderId="128" applyNumberFormat="0" applyProtection="0">
      <alignment horizontal="left" vertical="center" indent="1"/>
    </xf>
    <xf numFmtId="4" fontId="55" fillId="64" borderId="122" applyNumberFormat="0" applyProtection="0">
      <alignment horizontal="left" vertical="center" indent="1"/>
    </xf>
    <xf numFmtId="4" fontId="55" fillId="27" borderId="122" applyNumberFormat="0" applyProtection="0">
      <alignment horizontal="right" vertical="center"/>
    </xf>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144" fillId="14" borderId="122" applyNumberFormat="0" applyAlignment="0" applyProtection="0"/>
    <xf numFmtId="349" fontId="55" fillId="13" borderId="122" applyNumberFormat="0" applyFont="0" applyAlignment="0" applyProtection="0"/>
    <xf numFmtId="4" fontId="266" fillId="45" borderId="122" applyNumberFormat="0" applyProtection="0">
      <alignment vertical="center"/>
    </xf>
    <xf numFmtId="4" fontId="55" fillId="25" borderId="122" applyNumberFormat="0" applyProtection="0">
      <alignment horizontal="right" vertical="center"/>
    </xf>
    <xf numFmtId="4" fontId="55" fillId="19" borderId="128" applyNumberFormat="0" applyProtection="0">
      <alignment horizontal="left" vertical="center"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169" fontId="14" fillId="0" borderId="0" applyFont="0" applyFill="0" applyBorder="0" applyAlignment="0" applyProtection="0"/>
    <xf numFmtId="4" fontId="55" fillId="23" borderId="122" applyNumberFormat="0" applyProtection="0">
      <alignment horizontal="right" vertical="center"/>
    </xf>
    <xf numFmtId="169" fontId="14" fillId="0" borderId="0" applyFont="0" applyFill="0" applyBorder="0" applyAlignment="0" applyProtection="0"/>
    <xf numFmtId="349" fontId="55" fillId="13" borderId="122" applyNumberFormat="0" applyFont="0" applyAlignment="0" applyProtection="0"/>
    <xf numFmtId="4" fontId="55" fillId="18" borderId="122" applyNumberFormat="0" applyProtection="0">
      <alignment vertical="center"/>
    </xf>
    <xf numFmtId="4" fontId="266" fillId="45" borderId="122" applyNumberFormat="0" applyProtection="0">
      <alignment vertical="center"/>
    </xf>
    <xf numFmtId="4" fontId="55" fillId="25" borderId="122" applyNumberFormat="0" applyProtection="0">
      <alignment horizontal="right" vertical="center"/>
    </xf>
    <xf numFmtId="4" fontId="55" fillId="29" borderId="128" applyNumberFormat="0" applyProtection="0">
      <alignment horizontal="left" vertical="center" indent="1"/>
    </xf>
    <xf numFmtId="4" fontId="55" fillId="130" borderId="122" applyNumberFormat="0" applyProtection="0">
      <alignment horizontal="right" vertical="center"/>
    </xf>
    <xf numFmtId="4" fontId="55" fillId="19" borderId="122" applyNumberFormat="0" applyProtection="0">
      <alignment horizontal="right" vertical="center"/>
    </xf>
    <xf numFmtId="349" fontId="55" fillId="61" borderId="122" applyNumberFormat="0" applyProtection="0">
      <alignment horizontal="left" vertical="center" indent="1"/>
    </xf>
    <xf numFmtId="214" fontId="66" fillId="0" borderId="28" applyFill="0"/>
    <xf numFmtId="349" fontId="55" fillId="32" borderId="127" applyNumberFormat="0" applyProtection="0">
      <alignment horizontal="left" vertical="top" indent="1"/>
    </xf>
    <xf numFmtId="4" fontId="55" fillId="19" borderId="122" applyNumberFormat="0" applyProtection="0">
      <alignment horizontal="right" vertical="center"/>
    </xf>
    <xf numFmtId="349" fontId="186" fillId="127" borderId="126" applyNumberFormat="0" applyAlignment="0" applyProtection="0"/>
    <xf numFmtId="349" fontId="55" fillId="13" borderId="122" applyNumberFormat="0" applyFont="0" applyAlignment="0" applyProtection="0"/>
    <xf numFmtId="349" fontId="186" fillId="127" borderId="126" applyNumberFormat="0" applyAlignment="0" applyProtection="0"/>
    <xf numFmtId="349" fontId="55" fillId="61" borderId="122" applyNumberFormat="0" applyProtection="0">
      <alignment horizontal="left" vertical="center"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center" indent="1"/>
    </xf>
    <xf numFmtId="4" fontId="55" fillId="27" borderId="122" applyNumberFormat="0" applyProtection="0">
      <alignment horizontal="right" vertical="center"/>
    </xf>
    <xf numFmtId="349" fontId="267" fillId="18" borderId="127" applyNumberFormat="0" applyProtection="0">
      <alignment horizontal="left" vertical="top" indent="1"/>
    </xf>
    <xf numFmtId="349" fontId="55" fillId="13" borderId="122" applyNumberFormat="0" applyFont="0" applyAlignment="0" applyProtection="0"/>
    <xf numFmtId="349" fontId="144" fillId="14" borderId="122"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4" fontId="55" fillId="130" borderId="122" applyNumberFormat="0" applyProtection="0">
      <alignment horizontal="right" vertical="center"/>
    </xf>
    <xf numFmtId="4" fontId="55" fillId="45" borderId="122" applyNumberFormat="0" applyProtection="0">
      <alignment horizontal="left" vertical="center" indent="1"/>
    </xf>
    <xf numFmtId="4" fontId="11" fillId="31" borderId="128" applyNumberFormat="0" applyProtection="0">
      <alignment horizontal="left" vertical="center" indent="1"/>
    </xf>
    <xf numFmtId="4" fontId="55" fillId="25" borderId="122" applyNumberFormat="0" applyProtection="0">
      <alignment horizontal="right" vertical="center"/>
    </xf>
    <xf numFmtId="4" fontId="55" fillId="23" borderId="122" applyNumberFormat="0" applyProtection="0">
      <alignment horizontal="right" vertical="center"/>
    </xf>
    <xf numFmtId="349" fontId="55" fillId="31" borderId="127" applyNumberFormat="0" applyProtection="0">
      <alignment horizontal="left" vertical="top" indent="1"/>
    </xf>
    <xf numFmtId="349" fontId="264" fillId="127" borderId="122" applyNumberFormat="0" applyAlignment="0" applyProtection="0"/>
    <xf numFmtId="349" fontId="55" fillId="19" borderId="127" applyNumberFormat="0" applyProtection="0">
      <alignment horizontal="left" vertical="top"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11" fillId="30" borderId="127" applyNumberFormat="0" applyProtection="0">
      <alignment horizontal="left" vertical="top" indent="1"/>
    </xf>
    <xf numFmtId="349" fontId="55" fillId="30" borderId="127" applyNumberFormat="0" applyProtection="0">
      <alignment horizontal="left" vertical="top" indent="1"/>
    </xf>
    <xf numFmtId="4" fontId="55" fillId="0" borderId="122" applyNumberFormat="0" applyProtection="0">
      <alignment horizontal="right" vertical="center"/>
    </xf>
    <xf numFmtId="349" fontId="17" fillId="0" borderId="131" applyNumberFormat="0" applyFill="0" applyAlignment="0" applyProtection="0"/>
    <xf numFmtId="349" fontId="95" fillId="31" borderId="129" applyBorder="0"/>
    <xf numFmtId="349" fontId="55" fillId="30" borderId="127" applyNumberFormat="0" applyProtection="0">
      <alignment horizontal="left" vertical="top" indent="1"/>
    </xf>
    <xf numFmtId="349" fontId="55" fillId="30" borderId="127" applyNumberFormat="0" applyProtection="0">
      <alignment horizontal="left" vertical="top" indent="1"/>
    </xf>
    <xf numFmtId="214" fontId="66" fillId="0" borderId="28" applyFill="0"/>
    <xf numFmtId="349" fontId="55" fillId="30" borderId="127" applyNumberFormat="0" applyProtection="0">
      <alignment horizontal="left" vertical="top" indent="1"/>
    </xf>
    <xf numFmtId="4" fontId="55" fillId="27" borderId="122" applyNumberFormat="0" applyProtection="0">
      <alignment horizontal="right" vertical="center"/>
    </xf>
    <xf numFmtId="4" fontId="55" fillId="19" borderId="128" applyNumberFormat="0" applyProtection="0">
      <alignment horizontal="left" vertical="center" indent="1"/>
    </xf>
    <xf numFmtId="349" fontId="55" fillId="31" borderId="127" applyNumberFormat="0" applyProtection="0">
      <alignment horizontal="left" vertical="top"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4" fontId="269" fillId="35" borderId="128" applyNumberFormat="0" applyProtection="0">
      <alignment horizontal="left" vertical="center" indent="1"/>
    </xf>
    <xf numFmtId="349" fontId="144" fillId="14" borderId="122" applyNumberFormat="0" applyAlignment="0" applyProtection="0"/>
    <xf numFmtId="349" fontId="11" fillId="32" borderId="127" applyNumberFormat="0" applyProtection="0">
      <alignment horizontal="left" vertical="top" indent="1"/>
    </xf>
    <xf numFmtId="349" fontId="144" fillId="14" borderId="122" applyNumberFormat="0" applyAlignment="0" applyProtection="0"/>
    <xf numFmtId="349" fontId="11" fillId="19" borderId="127" applyNumberFormat="0" applyProtection="0">
      <alignment horizontal="left" vertical="center" indent="1"/>
    </xf>
    <xf numFmtId="349" fontId="55" fillId="31" borderId="127" applyNumberFormat="0" applyProtection="0">
      <alignment horizontal="left" vertical="top" indent="1"/>
    </xf>
    <xf numFmtId="4" fontId="55" fillId="19" borderId="128" applyNumberFormat="0" applyProtection="0">
      <alignment horizontal="left" vertical="center" indent="1"/>
    </xf>
    <xf numFmtId="4" fontId="55" fillId="27" borderId="122" applyNumberFormat="0" applyProtection="0">
      <alignment horizontal="right" vertical="center"/>
    </xf>
    <xf numFmtId="4" fontId="55" fillId="20" borderId="122" applyNumberFormat="0" applyProtection="0">
      <alignment horizontal="right" vertical="center"/>
    </xf>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32" borderId="122" applyNumberFormat="0" applyProtection="0">
      <alignment horizontal="left" vertical="center" indent="1"/>
    </xf>
    <xf numFmtId="4" fontId="55" fillId="130" borderId="122" applyNumberFormat="0" applyProtection="0">
      <alignment horizontal="right" vertical="center"/>
    </xf>
    <xf numFmtId="349" fontId="55" fillId="30" borderId="127" applyNumberFormat="0" applyProtection="0">
      <alignment horizontal="left" vertical="top" indent="1"/>
    </xf>
    <xf numFmtId="4" fontId="55" fillId="30" borderId="128" applyNumberFormat="0" applyProtection="0">
      <alignment horizontal="left" vertical="center" indent="1"/>
    </xf>
    <xf numFmtId="349" fontId="55" fillId="31" borderId="127" applyNumberFormat="0" applyProtection="0">
      <alignment horizontal="left" vertical="top" indent="1"/>
    </xf>
    <xf numFmtId="349" fontId="55" fillId="83" borderId="122" applyNumberFormat="0" applyProtection="0">
      <alignment horizontal="left" vertical="center"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268" fillId="19" borderId="127" applyNumberFormat="0" applyProtection="0">
      <alignment horizontal="left" vertical="top" indent="1"/>
    </xf>
    <xf numFmtId="4" fontId="55" fillId="0" borderId="122" applyNumberFormat="0" applyProtection="0">
      <alignment horizontal="right" vertical="center"/>
    </xf>
    <xf numFmtId="349" fontId="11" fillId="32" borderId="127" applyNumberFormat="0" applyProtection="0">
      <alignment horizontal="left" vertical="top" indent="1"/>
    </xf>
    <xf numFmtId="37" fontId="66" fillId="0" borderId="130" applyNumberFormat="0"/>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4" fontId="55" fillId="19" borderId="128" applyNumberFormat="0" applyProtection="0">
      <alignment horizontal="left" vertical="center" indent="1"/>
    </xf>
    <xf numFmtId="4" fontId="55" fillId="22" borderId="128" applyNumberFormat="0" applyProtection="0">
      <alignment horizontal="right" vertical="center"/>
    </xf>
    <xf numFmtId="349" fontId="264" fillId="127" borderId="122" applyNumberFormat="0" applyAlignment="0" applyProtection="0"/>
    <xf numFmtId="349" fontId="55" fillId="32" borderId="127" applyNumberFormat="0" applyProtection="0">
      <alignment horizontal="left" vertical="top" indent="1"/>
    </xf>
    <xf numFmtId="349" fontId="55" fillId="13" borderId="122" applyNumberFormat="0" applyFont="0" applyAlignment="0" applyProtection="0"/>
    <xf numFmtId="349" fontId="55" fillId="13" borderId="122" applyNumberFormat="0" applyFont="0" applyAlignment="0" applyProtection="0"/>
    <xf numFmtId="349" fontId="55" fillId="19" borderId="127" applyNumberFormat="0" applyProtection="0">
      <alignment horizontal="left" vertical="top" indent="1"/>
    </xf>
    <xf numFmtId="349" fontId="11" fillId="31" borderId="127" applyNumberFormat="0" applyProtection="0">
      <alignment horizontal="left" vertical="center" indent="1"/>
    </xf>
    <xf numFmtId="349" fontId="11" fillId="19" borderId="127" applyNumberFormat="0" applyProtection="0">
      <alignment horizontal="left" vertical="top" indent="1"/>
    </xf>
    <xf numFmtId="349" fontId="55" fillId="31" borderId="127" applyNumberFormat="0" applyProtection="0">
      <alignment horizontal="left" vertical="top" indent="1"/>
    </xf>
    <xf numFmtId="4" fontId="55" fillId="0" borderId="122" applyNumberFormat="0" applyProtection="0">
      <alignment horizontal="right" vertical="center"/>
    </xf>
    <xf numFmtId="349" fontId="55" fillId="13" borderId="122" applyNumberFormat="0" applyFont="0" applyAlignment="0" applyProtection="0"/>
    <xf numFmtId="4" fontId="55" fillId="23" borderId="122" applyNumberFormat="0" applyProtection="0">
      <alignment horizontal="right" vertical="center"/>
    </xf>
    <xf numFmtId="4" fontId="55" fillId="23" borderId="122" applyNumberFormat="0" applyProtection="0">
      <alignment horizontal="right" vertical="center"/>
    </xf>
    <xf numFmtId="4" fontId="55" fillId="28" borderId="122" applyNumberFormat="0" applyProtection="0">
      <alignment horizontal="right" vertical="center"/>
    </xf>
    <xf numFmtId="349" fontId="55" fillId="61" borderId="122" applyNumberFormat="0" applyProtection="0">
      <alignment horizontal="left" vertical="center"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4" fontId="270" fillId="33" borderId="122" applyNumberFormat="0" applyProtection="0">
      <alignment horizontal="right" vertical="center"/>
    </xf>
    <xf numFmtId="4" fontId="55" fillId="64" borderId="122" applyNumberFormat="0" applyProtection="0">
      <alignment horizontal="left" vertical="center" indent="1"/>
    </xf>
    <xf numFmtId="349" fontId="55" fillId="30" borderId="127" applyNumberFormat="0" applyProtection="0">
      <alignment horizontal="left" vertical="top" indent="1"/>
    </xf>
    <xf numFmtId="4" fontId="269" fillId="35" borderId="128" applyNumberFormat="0" applyProtection="0">
      <alignment horizontal="left" vertical="center"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4" fontId="55" fillId="19" borderId="122" applyNumberFormat="0" applyProtection="0">
      <alignment horizontal="right" vertical="center"/>
    </xf>
    <xf numFmtId="4" fontId="55" fillId="20" borderId="122" applyNumberFormat="0" applyProtection="0">
      <alignment horizontal="right" vertical="center"/>
    </xf>
    <xf numFmtId="349" fontId="55" fillId="30" borderId="127" applyNumberFormat="0" applyProtection="0">
      <alignment horizontal="left" vertical="top" indent="1"/>
    </xf>
    <xf numFmtId="349" fontId="55" fillId="31" borderId="127" applyNumberFormat="0" applyProtection="0">
      <alignment horizontal="left" vertical="top" indent="1"/>
    </xf>
    <xf numFmtId="349" fontId="55" fillId="13" borderId="122" applyNumberFormat="0" applyFont="0" applyAlignment="0" applyProtection="0"/>
    <xf numFmtId="349" fontId="55" fillId="13" borderId="122" applyNumberFormat="0" applyFont="0" applyAlignment="0" applyProtection="0"/>
    <xf numFmtId="4" fontId="55" fillId="64" borderId="122" applyNumberFormat="0" applyProtection="0">
      <alignment horizontal="left" vertical="center" indent="1"/>
    </xf>
    <xf numFmtId="349" fontId="55" fillId="30" borderId="127" applyNumberFormat="0" applyProtection="0">
      <alignment horizontal="left" vertical="top" indent="1"/>
    </xf>
    <xf numFmtId="349" fontId="55" fillId="19" borderId="127" applyNumberFormat="0" applyProtection="0">
      <alignment horizontal="left" vertical="top" indent="1"/>
    </xf>
    <xf numFmtId="4" fontId="11" fillId="31" borderId="128" applyNumberFormat="0" applyProtection="0">
      <alignment horizontal="left" vertical="center" indent="1"/>
    </xf>
    <xf numFmtId="349" fontId="186" fillId="127" borderId="126" applyNumberFormat="0" applyAlignment="0" applyProtection="0"/>
    <xf numFmtId="169" fontId="14" fillId="0" borderId="0" applyFont="0" applyFill="0" applyBorder="0" applyAlignment="0" applyProtection="0"/>
    <xf numFmtId="349" fontId="267" fillId="18" borderId="127" applyNumberFormat="0" applyProtection="0">
      <alignment horizontal="left" vertical="top" indent="1"/>
    </xf>
    <xf numFmtId="4" fontId="55" fillId="27" borderId="122" applyNumberFormat="0" applyProtection="0">
      <alignment horizontal="right" vertical="center"/>
    </xf>
    <xf numFmtId="4" fontId="55" fillId="19" borderId="128" applyNumberFormat="0" applyProtection="0">
      <alignment horizontal="left" vertical="center" indent="1"/>
    </xf>
    <xf numFmtId="349" fontId="11" fillId="31" borderId="127" applyNumberFormat="0" applyProtection="0">
      <alignment horizontal="left" vertical="top" indent="1"/>
    </xf>
    <xf numFmtId="349" fontId="55" fillId="32" borderId="127" applyNumberFormat="0" applyProtection="0">
      <alignment horizontal="left" vertical="top" indent="1"/>
    </xf>
    <xf numFmtId="349" fontId="55" fillId="32" borderId="122" applyNumberFormat="0" applyProtection="0">
      <alignment horizontal="left" vertical="center" indent="1"/>
    </xf>
    <xf numFmtId="349" fontId="11" fillId="19" borderId="127" applyNumberFormat="0" applyProtection="0">
      <alignment horizontal="left" vertical="center" indent="1"/>
    </xf>
    <xf numFmtId="349" fontId="55" fillId="31" borderId="127" applyNumberFormat="0" applyProtection="0">
      <alignment horizontal="left" vertical="top" indent="1"/>
    </xf>
    <xf numFmtId="4" fontId="11" fillId="31" borderId="128" applyNumberFormat="0" applyProtection="0">
      <alignment horizontal="left" vertical="center" indent="1"/>
    </xf>
    <xf numFmtId="4" fontId="55" fillId="130" borderId="122" applyNumberFormat="0" applyProtection="0">
      <alignment horizontal="right" vertical="center"/>
    </xf>
    <xf numFmtId="349" fontId="55" fillId="13" borderId="122" applyNumberFormat="0" applyFont="0" applyAlignment="0" applyProtection="0"/>
    <xf numFmtId="349" fontId="264" fillId="127" borderId="122" applyNumberFormat="0" applyAlignment="0" applyProtection="0"/>
    <xf numFmtId="349" fontId="144" fillId="14" borderId="122"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4" fontId="266" fillId="45" borderId="122" applyNumberFormat="0" applyProtection="0">
      <alignment vertical="center"/>
    </xf>
    <xf numFmtId="4" fontId="55" fillId="19" borderId="122" applyNumberFormat="0" applyProtection="0">
      <alignment horizontal="right" vertical="center"/>
    </xf>
    <xf numFmtId="4" fontId="55" fillId="130" borderId="122" applyNumberFormat="0" applyProtection="0">
      <alignment horizontal="right" vertical="center"/>
    </xf>
    <xf numFmtId="349" fontId="55" fillId="31" borderId="127" applyNumberFormat="0" applyProtection="0">
      <alignment horizontal="left" vertical="top" indent="1"/>
    </xf>
    <xf numFmtId="4" fontId="55" fillId="29" borderId="128" applyNumberFormat="0" applyProtection="0">
      <alignment horizontal="left" vertical="center" indent="1"/>
    </xf>
    <xf numFmtId="4" fontId="55" fillId="26" borderId="122" applyNumberFormat="0" applyProtection="0">
      <alignment horizontal="right" vertical="center"/>
    </xf>
    <xf numFmtId="349" fontId="55" fillId="31"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55" fillId="30" borderId="127" applyNumberFormat="0" applyProtection="0">
      <alignment horizontal="left" vertical="top" indent="1"/>
    </xf>
    <xf numFmtId="4" fontId="268" fillId="34" borderId="127" applyNumberFormat="0" applyProtection="0">
      <alignment vertical="center"/>
    </xf>
    <xf numFmtId="4" fontId="269" fillId="35" borderId="128" applyNumberFormat="0" applyProtection="0">
      <alignment horizontal="left" vertical="center" indent="1"/>
    </xf>
    <xf numFmtId="349" fontId="55" fillId="19" borderId="127" applyNumberFormat="0" applyProtection="0">
      <alignment horizontal="left" vertical="top" indent="1"/>
    </xf>
    <xf numFmtId="4" fontId="55" fillId="64" borderId="122" applyNumberFormat="0" applyProtection="0">
      <alignment horizontal="left" vertical="center" indent="1"/>
    </xf>
    <xf numFmtId="349" fontId="55" fillId="30" borderId="127" applyNumberFormat="0" applyProtection="0">
      <alignment horizontal="left" vertical="top" indent="1"/>
    </xf>
    <xf numFmtId="4" fontId="55" fillId="0" borderId="122" applyNumberFormat="0" applyProtection="0">
      <alignment horizontal="right" vertical="center"/>
    </xf>
    <xf numFmtId="349" fontId="264" fillId="127" borderId="122" applyNumberFormat="0" applyAlignment="0" applyProtection="0"/>
    <xf numFmtId="349" fontId="55" fillId="13" borderId="122" applyNumberFormat="0" applyFont="0" applyAlignment="0" applyProtection="0"/>
    <xf numFmtId="4" fontId="11" fillId="31" borderId="128" applyNumberFormat="0" applyProtection="0">
      <alignment horizontal="left" vertical="center"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17" fillId="0" borderId="131" applyNumberFormat="0" applyFill="0" applyAlignment="0" applyProtection="0"/>
    <xf numFmtId="349" fontId="55" fillId="13" borderId="122" applyNumberFormat="0" applyFont="0" applyAlignment="0" applyProtection="0"/>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4" fontId="11" fillId="31" borderId="128" applyNumberFormat="0" applyProtection="0">
      <alignment horizontal="left" vertical="center" indent="1"/>
    </xf>
    <xf numFmtId="4" fontId="55" fillId="23" borderId="122" applyNumberFormat="0" applyProtection="0">
      <alignment horizontal="right" vertical="center"/>
    </xf>
    <xf numFmtId="4" fontId="266" fillId="45" borderId="122" applyNumberFormat="0" applyProtection="0">
      <alignment vertical="center"/>
    </xf>
    <xf numFmtId="349" fontId="55" fillId="13" borderId="122" applyNumberFormat="0" applyFont="0" applyAlignment="0" applyProtection="0"/>
    <xf numFmtId="349" fontId="264" fillId="127" borderId="122" applyNumberFormat="0" applyAlignment="0" applyProtection="0"/>
    <xf numFmtId="4" fontId="55" fillId="130" borderId="122" applyNumberFormat="0" applyProtection="0">
      <alignment horizontal="right" vertical="center"/>
    </xf>
    <xf numFmtId="349" fontId="55" fillId="13" borderId="122" applyNumberFormat="0" applyFont="0" applyAlignment="0" applyProtection="0"/>
    <xf numFmtId="349" fontId="268" fillId="34" borderId="127" applyNumberFormat="0" applyProtection="0">
      <alignment horizontal="left" vertical="top" indent="1"/>
    </xf>
    <xf numFmtId="4" fontId="55" fillId="25" borderId="122" applyNumberFormat="0" applyProtection="0">
      <alignment horizontal="right" vertical="center"/>
    </xf>
    <xf numFmtId="4" fontId="11" fillId="31" borderId="128" applyNumberFormat="0" applyProtection="0">
      <alignment horizontal="left" vertical="center"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11" fillId="30" borderId="127" applyNumberFormat="0" applyProtection="0">
      <alignment horizontal="left" vertical="center"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17" fillId="0" borderId="131" applyNumberFormat="0" applyFill="0" applyAlignment="0" applyProtection="0"/>
    <xf numFmtId="349" fontId="55" fillId="32" borderId="127" applyNumberFormat="0" applyProtection="0">
      <alignment horizontal="left" vertical="top" indent="1"/>
    </xf>
    <xf numFmtId="349" fontId="264" fillId="127" borderId="122" applyNumberFormat="0" applyAlignment="0" applyProtection="0"/>
    <xf numFmtId="4" fontId="55" fillId="0" borderId="122" applyNumberFormat="0" applyProtection="0">
      <alignment horizontal="right" vertical="center"/>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83" borderId="122" applyNumberFormat="0" applyProtection="0">
      <alignment horizontal="left" vertical="center" indent="1"/>
    </xf>
    <xf numFmtId="349" fontId="11" fillId="31" borderId="127" applyNumberFormat="0" applyProtection="0">
      <alignment horizontal="left" vertical="top" indent="1"/>
    </xf>
    <xf numFmtId="4" fontId="55" fillId="28" borderId="122" applyNumberFormat="0" applyProtection="0">
      <alignment horizontal="right" vertical="center"/>
    </xf>
    <xf numFmtId="349" fontId="267" fillId="18" borderId="127" applyNumberFormat="0" applyProtection="0">
      <alignment horizontal="left" vertical="top" indent="1"/>
    </xf>
    <xf numFmtId="349" fontId="95" fillId="31" borderId="129" applyBorder="0"/>
    <xf numFmtId="349" fontId="55" fillId="32" borderId="122" applyNumberFormat="0" applyProtection="0">
      <alignment horizontal="left" vertical="center" indent="1"/>
    </xf>
    <xf numFmtId="349" fontId="144" fillId="14" borderId="122" applyNumberFormat="0" applyAlignment="0" applyProtection="0"/>
    <xf numFmtId="4" fontId="268" fillId="61" borderId="127" applyNumberFormat="0" applyProtection="0">
      <alignment horizontal="left" vertical="center" indent="1"/>
    </xf>
    <xf numFmtId="349" fontId="55" fillId="13" borderId="122" applyNumberFormat="0" applyFont="0" applyAlignment="0" applyProtection="0"/>
    <xf numFmtId="349" fontId="264" fillId="127" borderId="122" applyNumberFormat="0" applyAlignment="0" applyProtection="0"/>
    <xf numFmtId="4" fontId="55" fillId="45" borderId="122" applyNumberFormat="0" applyProtection="0">
      <alignment horizontal="left" vertical="center" indent="1"/>
    </xf>
    <xf numFmtId="4" fontId="55" fillId="24" borderId="122" applyNumberFormat="0" applyProtection="0">
      <alignment horizontal="right" vertical="center"/>
    </xf>
    <xf numFmtId="4" fontId="11" fillId="31" borderId="128" applyNumberFormat="0" applyProtection="0">
      <alignment horizontal="left" vertical="center" indent="1"/>
    </xf>
    <xf numFmtId="349" fontId="11" fillId="31" borderId="127" applyNumberFormat="0" applyProtection="0">
      <alignment horizontal="left" vertical="top"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32" borderId="122" applyNumberFormat="0" applyProtection="0">
      <alignment horizontal="left" vertical="center" indent="1"/>
    </xf>
    <xf numFmtId="349" fontId="17" fillId="0" borderId="131" applyNumberFormat="0" applyFill="0" applyAlignment="0" applyProtection="0"/>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4" fontId="11" fillId="31" borderId="128" applyNumberFormat="0" applyProtection="0">
      <alignment horizontal="left" vertical="center" indent="1"/>
    </xf>
    <xf numFmtId="4" fontId="55" fillId="64" borderId="122" applyNumberFormat="0" applyProtection="0">
      <alignment horizontal="left" vertical="center" indent="1"/>
    </xf>
    <xf numFmtId="349" fontId="268" fillId="34" borderId="127" applyNumberFormat="0" applyProtection="0">
      <alignment horizontal="left" vertical="top" indent="1"/>
    </xf>
    <xf numFmtId="349" fontId="55" fillId="30" borderId="127" applyNumberFormat="0" applyProtection="0">
      <alignment horizontal="left" vertical="top" indent="1"/>
    </xf>
    <xf numFmtId="349" fontId="268" fillId="34" borderId="127" applyNumberFormat="0" applyProtection="0">
      <alignment horizontal="left" vertical="top" indent="1"/>
    </xf>
    <xf numFmtId="349" fontId="55" fillId="32" borderId="127" applyNumberFormat="0" applyProtection="0">
      <alignment horizontal="left" vertical="top" indent="1"/>
    </xf>
    <xf numFmtId="349" fontId="268" fillId="19" borderId="127" applyNumberFormat="0" applyProtection="0">
      <alignment horizontal="left" vertical="top" indent="1"/>
    </xf>
    <xf numFmtId="349" fontId="95" fillId="31" borderId="129" applyBorder="0"/>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214" fontId="66" fillId="0" borderId="28" applyFill="0"/>
    <xf numFmtId="4" fontId="55" fillId="28" borderId="122" applyNumberFormat="0" applyProtection="0">
      <alignment horizontal="right" vertical="center"/>
    </xf>
    <xf numFmtId="4" fontId="55" fillId="19" borderId="128" applyNumberFormat="0" applyProtection="0">
      <alignment horizontal="left" vertical="center" indent="1"/>
    </xf>
    <xf numFmtId="4" fontId="55" fillId="20" borderId="122" applyNumberFormat="0" applyProtection="0">
      <alignment horizontal="right" vertical="center"/>
    </xf>
    <xf numFmtId="4" fontId="55" fillId="28" borderId="122" applyNumberFormat="0" applyProtection="0">
      <alignment horizontal="right" vertical="center"/>
    </xf>
    <xf numFmtId="349" fontId="186" fillId="127" borderId="126"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144" fillId="14" borderId="122" applyNumberFormat="0" applyAlignment="0" applyProtection="0"/>
    <xf numFmtId="349" fontId="55" fillId="13" borderId="122" applyNumberFormat="0" applyFont="0" applyAlignment="0" applyProtection="0"/>
    <xf numFmtId="4" fontId="55" fillId="18" borderId="122" applyNumberFormat="0" applyProtection="0">
      <alignment vertical="center"/>
    </xf>
    <xf numFmtId="4" fontId="55" fillId="24" borderId="122" applyNumberFormat="0" applyProtection="0">
      <alignment horizontal="right" vertical="center"/>
    </xf>
    <xf numFmtId="4" fontId="55" fillId="30" borderId="128" applyNumberFormat="0" applyProtection="0">
      <alignment horizontal="left" vertical="center"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11" fillId="32" borderId="127" applyNumberFormat="0" applyProtection="0">
      <alignment horizontal="left" vertical="center" indent="1"/>
    </xf>
    <xf numFmtId="349" fontId="55" fillId="32" borderId="127" applyNumberFormat="0" applyProtection="0">
      <alignment horizontal="left" vertical="top" indent="1"/>
    </xf>
    <xf numFmtId="349" fontId="55" fillId="31" borderId="127" applyNumberFormat="0" applyProtection="0">
      <alignment horizontal="left" vertical="top" indent="1"/>
    </xf>
    <xf numFmtId="4" fontId="55" fillId="24" borderId="122" applyNumberFormat="0" applyProtection="0">
      <alignment horizontal="right" vertical="center"/>
    </xf>
    <xf numFmtId="4" fontId="55" fillId="18" borderId="122" applyNumberFormat="0" applyProtection="0">
      <alignment vertical="center"/>
    </xf>
    <xf numFmtId="4" fontId="55" fillId="64" borderId="122" applyNumberFormat="0" applyProtection="0">
      <alignment horizontal="left" vertical="center" indent="1"/>
    </xf>
    <xf numFmtId="4" fontId="55" fillId="45" borderId="122" applyNumberFormat="0" applyProtection="0">
      <alignment horizontal="left" vertical="center" indent="1"/>
    </xf>
    <xf numFmtId="4" fontId="55" fillId="26" borderId="122" applyNumberFormat="0" applyProtection="0">
      <alignment horizontal="right" vertical="center"/>
    </xf>
    <xf numFmtId="4" fontId="11" fillId="31" borderId="128" applyNumberFormat="0" applyProtection="0">
      <alignment horizontal="left" vertical="center" indent="1"/>
    </xf>
    <xf numFmtId="4" fontId="55" fillId="22" borderId="128" applyNumberFormat="0" applyProtection="0">
      <alignment horizontal="right" vertical="center"/>
    </xf>
    <xf numFmtId="4" fontId="55" fillId="30" borderId="128" applyNumberFormat="0" applyProtection="0">
      <alignment horizontal="left" vertical="center" indent="1"/>
    </xf>
    <xf numFmtId="349" fontId="11" fillId="31" borderId="127" applyNumberFormat="0" applyProtection="0">
      <alignment horizontal="left" vertical="center" indent="1"/>
    </xf>
    <xf numFmtId="349" fontId="55" fillId="32" borderId="127" applyNumberFormat="0" applyProtection="0">
      <alignment horizontal="left" vertical="top" indent="1"/>
    </xf>
    <xf numFmtId="4" fontId="11" fillId="31" borderId="128" applyNumberFormat="0" applyProtection="0">
      <alignment horizontal="left" vertical="center" indent="1"/>
    </xf>
    <xf numFmtId="349" fontId="186" fillId="127" borderId="126" applyNumberFormat="0" applyAlignment="0" applyProtection="0"/>
    <xf numFmtId="349" fontId="55" fillId="13" borderId="122" applyNumberFormat="0" applyFont="0" applyAlignment="0" applyProtection="0"/>
    <xf numFmtId="4" fontId="55" fillId="18" borderId="122" applyNumberFormat="0" applyProtection="0">
      <alignment vertical="center"/>
    </xf>
    <xf numFmtId="349" fontId="11" fillId="31" borderId="127" applyNumberFormat="0" applyProtection="0">
      <alignment horizontal="left" vertical="center" indent="1"/>
    </xf>
    <xf numFmtId="349" fontId="55" fillId="30" borderId="127" applyNumberFormat="0" applyProtection="0">
      <alignment horizontal="left" vertical="top" indent="1"/>
    </xf>
    <xf numFmtId="349" fontId="11"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55" fillId="61" borderId="122" applyNumberFormat="0" applyProtection="0">
      <alignment horizontal="left" vertical="center" indent="1"/>
    </xf>
    <xf numFmtId="4" fontId="55" fillId="26" borderId="122" applyNumberFormat="0" applyProtection="0">
      <alignment horizontal="right" vertical="center"/>
    </xf>
    <xf numFmtId="4" fontId="55" fillId="45" borderId="122" applyNumberFormat="0" applyProtection="0">
      <alignment horizontal="left" vertical="center" indent="1"/>
    </xf>
    <xf numFmtId="349" fontId="55" fillId="13" borderId="122" applyNumberFormat="0" applyFont="0" applyAlignment="0" applyProtection="0"/>
    <xf numFmtId="349" fontId="144" fillId="14" borderId="122" applyNumberForma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4" fontId="55" fillId="25" borderId="122" applyNumberFormat="0" applyProtection="0">
      <alignment horizontal="right" vertical="center"/>
    </xf>
    <xf numFmtId="349" fontId="267" fillId="18" borderId="127" applyNumberFormat="0" applyProtection="0">
      <alignment horizontal="left" vertical="top" indent="1"/>
    </xf>
    <xf numFmtId="4" fontId="55" fillId="19" borderId="122" applyNumberFormat="0" applyProtection="0">
      <alignment horizontal="right" vertical="center"/>
    </xf>
    <xf numFmtId="4" fontId="55" fillId="26" borderId="122" applyNumberFormat="0" applyProtection="0">
      <alignment horizontal="right" vertical="center"/>
    </xf>
    <xf numFmtId="4" fontId="55" fillId="24" borderId="122" applyNumberFormat="0" applyProtection="0">
      <alignment horizontal="right" vertical="center"/>
    </xf>
    <xf numFmtId="349" fontId="55" fillId="31" borderId="127" applyNumberFormat="0" applyProtection="0">
      <alignment horizontal="left" vertical="top" indent="1"/>
    </xf>
    <xf numFmtId="349" fontId="264" fillId="127" borderId="122" applyNumberFormat="0" applyAlignment="0" applyProtection="0"/>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4" fontId="266" fillId="50" borderId="122" applyNumberFormat="0" applyProtection="0">
      <alignment horizontal="right" vertical="center"/>
    </xf>
    <xf numFmtId="349" fontId="17" fillId="0" borderId="131" applyNumberFormat="0" applyFill="0" applyAlignment="0" applyProtection="0"/>
    <xf numFmtId="4" fontId="268" fillId="34" borderId="127" applyNumberFormat="0" applyProtection="0">
      <alignment vertical="center"/>
    </xf>
    <xf numFmtId="349" fontId="55" fillId="30" borderId="127" applyNumberFormat="0" applyProtection="0">
      <alignment horizontal="left" vertical="top" indent="1"/>
    </xf>
    <xf numFmtId="349" fontId="95" fillId="31" borderId="129" applyBorder="0"/>
    <xf numFmtId="4" fontId="55" fillId="0" borderId="122" applyNumberFormat="0" applyProtection="0">
      <alignment horizontal="right" vertical="center"/>
    </xf>
    <xf numFmtId="349" fontId="55" fillId="30" borderId="127" applyNumberFormat="0" applyProtection="0">
      <alignment horizontal="left" vertical="top" indent="1"/>
    </xf>
    <xf numFmtId="4" fontId="55" fillId="28" borderId="122" applyNumberFormat="0" applyProtection="0">
      <alignment horizontal="right" vertical="center"/>
    </xf>
    <xf numFmtId="349" fontId="55" fillId="61" borderId="122" applyNumberFormat="0" applyProtection="0">
      <alignment horizontal="left" vertical="center"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4" fontId="270" fillId="33" borderId="122" applyNumberFormat="0" applyProtection="0">
      <alignment horizontal="right" vertical="center"/>
    </xf>
    <xf numFmtId="349" fontId="144" fillId="14" borderId="122" applyNumberFormat="0" applyAlignment="0" applyProtection="0"/>
    <xf numFmtId="349" fontId="55" fillId="32" borderId="127" applyNumberFormat="0" applyProtection="0">
      <alignment horizontal="left" vertical="top" indent="1"/>
    </xf>
    <xf numFmtId="349" fontId="144" fillId="14" borderId="122" applyNumberFormat="0" applyAlignment="0" applyProtection="0"/>
    <xf numFmtId="349" fontId="55" fillId="83" borderId="122" applyNumberFormat="0" applyProtection="0">
      <alignment horizontal="left" vertical="center" indent="1"/>
    </xf>
    <xf numFmtId="349" fontId="55" fillId="31" borderId="127" applyNumberFormat="0" applyProtection="0">
      <alignment horizontal="left" vertical="top" indent="1"/>
    </xf>
    <xf numFmtId="4" fontId="55" fillId="30" borderId="128" applyNumberFormat="0" applyProtection="0">
      <alignment horizontal="left" vertical="center" indent="1"/>
    </xf>
    <xf numFmtId="4" fontId="55" fillId="26" borderId="122" applyNumberFormat="0" applyProtection="0">
      <alignment horizontal="right" vertical="center"/>
    </xf>
    <xf numFmtId="4" fontId="55" fillId="64" borderId="122" applyNumberFormat="0" applyProtection="0">
      <alignment horizontal="left" vertical="center" indent="1"/>
    </xf>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55" fillId="13" borderId="122" applyNumberFormat="0" applyFont="0" applyAlignment="0" applyProtection="0"/>
    <xf numFmtId="349" fontId="95" fillId="31" borderId="129" applyBorder="0"/>
    <xf numFmtId="4" fontId="55" fillId="22" borderId="128" applyNumberFormat="0" applyProtection="0">
      <alignment horizontal="right" vertical="center"/>
    </xf>
    <xf numFmtId="349" fontId="55" fillId="30" borderId="127" applyNumberFormat="0" applyProtection="0">
      <alignment horizontal="left" vertical="top" indent="1"/>
    </xf>
    <xf numFmtId="4" fontId="55" fillId="19" borderId="128" applyNumberFormat="0" applyProtection="0">
      <alignment horizontal="left" vertical="center" indent="1"/>
    </xf>
    <xf numFmtId="349" fontId="55" fillId="31" borderId="127" applyNumberFormat="0" applyProtection="0">
      <alignment horizontal="left" vertical="top" indent="1"/>
    </xf>
    <xf numFmtId="349" fontId="11" fillId="19" borderId="127" applyNumberFormat="0" applyProtection="0">
      <alignment horizontal="left" vertical="center" indent="1"/>
    </xf>
    <xf numFmtId="349" fontId="55" fillId="19" borderId="127" applyNumberFormat="0" applyProtection="0">
      <alignment horizontal="left" vertical="top" indent="1"/>
    </xf>
    <xf numFmtId="349" fontId="11" fillId="32"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4" fontId="269" fillId="35" borderId="128" applyNumberFormat="0" applyProtection="0">
      <alignment horizontal="left" vertical="center" indent="1"/>
    </xf>
    <xf numFmtId="4" fontId="266" fillId="50" borderId="122" applyNumberFormat="0" applyProtection="0">
      <alignment horizontal="right" vertical="center"/>
    </xf>
    <xf numFmtId="349" fontId="55" fillId="13" borderId="122" applyNumberFormat="0" applyFont="0" applyAlignment="0" applyProtection="0"/>
    <xf numFmtId="4" fontId="270" fillId="33" borderId="122" applyNumberFormat="0" applyProtection="0">
      <alignment horizontal="right" vertical="center"/>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4" fontId="55" fillId="30" borderId="128" applyNumberFormat="0" applyProtection="0">
      <alignment horizontal="left" vertical="center" indent="1"/>
    </xf>
    <xf numFmtId="4" fontId="55" fillId="130" borderId="122" applyNumberFormat="0" applyProtection="0">
      <alignment horizontal="right" vertical="center"/>
    </xf>
    <xf numFmtId="349" fontId="55" fillId="32" borderId="127" applyNumberFormat="0" applyProtection="0">
      <alignment horizontal="left" vertical="top" indent="1"/>
    </xf>
    <xf numFmtId="349" fontId="55" fillId="13" borderId="122" applyNumberFormat="0" applyFont="0" applyAlignment="0" applyProtection="0"/>
    <xf numFmtId="349" fontId="55" fillId="13" borderId="122" applyNumberFormat="0" applyFont="0" applyAlignment="0" applyProtection="0"/>
    <xf numFmtId="349" fontId="55" fillId="32" borderId="122" applyNumberFormat="0" applyProtection="0">
      <alignment horizontal="left" vertical="center"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4" fontId="266" fillId="50" borderId="122" applyNumberFormat="0" applyProtection="0">
      <alignment horizontal="right" vertical="center"/>
    </xf>
    <xf numFmtId="349" fontId="55" fillId="13" borderId="122" applyNumberFormat="0" applyFont="0" applyAlignment="0" applyProtection="0"/>
    <xf numFmtId="4" fontId="55" fillId="22" borderId="128" applyNumberFormat="0" applyProtection="0">
      <alignment horizontal="right" vertical="center"/>
    </xf>
    <xf numFmtId="4" fontId="55" fillId="24" borderId="122" applyNumberFormat="0" applyProtection="0">
      <alignment horizontal="right" vertical="center"/>
    </xf>
    <xf numFmtId="4" fontId="55" fillId="29" borderId="128" applyNumberFormat="0" applyProtection="0">
      <alignment horizontal="left" vertical="center" indent="1"/>
    </xf>
    <xf numFmtId="349" fontId="11" fillId="31" borderId="127" applyNumberFormat="0" applyProtection="0">
      <alignment horizontal="left" vertical="center" indent="1"/>
    </xf>
    <xf numFmtId="349" fontId="55" fillId="31" borderId="127" applyNumberFormat="0" applyProtection="0">
      <alignment horizontal="left" vertical="top" indent="1"/>
    </xf>
    <xf numFmtId="349" fontId="11" fillId="19"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0" borderId="122" applyNumberFormat="0" applyProtection="0">
      <alignment horizontal="left" vertical="center"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7" fontId="66" fillId="0" borderId="130" applyNumberFormat="0"/>
    <xf numFmtId="4" fontId="270" fillId="33" borderId="122" applyNumberFormat="0" applyProtection="0">
      <alignment horizontal="right" vertical="center"/>
    </xf>
    <xf numFmtId="349" fontId="55" fillId="19" borderId="127" applyNumberFormat="0" applyProtection="0">
      <alignment horizontal="left" vertical="top" indent="1"/>
    </xf>
    <xf numFmtId="349" fontId="268" fillId="19" borderId="127" applyNumberFormat="0" applyProtection="0">
      <alignment horizontal="left" vertical="top" indent="1"/>
    </xf>
    <xf numFmtId="349" fontId="55" fillId="30" borderId="127" applyNumberFormat="0" applyProtection="0">
      <alignment horizontal="left" vertical="top" indent="1"/>
    </xf>
    <xf numFmtId="349" fontId="11" fillId="32" borderId="127" applyNumberFormat="0" applyProtection="0">
      <alignment horizontal="left" vertical="center" indent="1"/>
    </xf>
    <xf numFmtId="349" fontId="11" fillId="19" borderId="127" applyNumberFormat="0" applyProtection="0">
      <alignment horizontal="left" vertical="center" indent="1"/>
    </xf>
    <xf numFmtId="349" fontId="55" fillId="31" borderId="127" applyNumberFormat="0" applyProtection="0">
      <alignment horizontal="left" vertical="top" indent="1"/>
    </xf>
    <xf numFmtId="4" fontId="11" fillId="31" borderId="128" applyNumberFormat="0" applyProtection="0">
      <alignment horizontal="left" vertical="center" indent="1"/>
    </xf>
    <xf numFmtId="4" fontId="55" fillId="64" borderId="122" applyNumberFormat="0" applyProtection="0">
      <alignment horizontal="left" vertical="center" indent="1"/>
    </xf>
    <xf numFmtId="349" fontId="55" fillId="31" borderId="127" applyNumberFormat="0" applyProtection="0">
      <alignment horizontal="left" vertical="top" indent="1"/>
    </xf>
    <xf numFmtId="349" fontId="55" fillId="13" borderId="122" applyNumberFormat="0" applyFont="0" applyAlignment="0" applyProtection="0"/>
    <xf numFmtId="4" fontId="266" fillId="50" borderId="122" applyNumberFormat="0" applyProtection="0">
      <alignment horizontal="right" vertical="center"/>
    </xf>
    <xf numFmtId="349" fontId="11" fillId="30" borderId="127" applyNumberFormat="0" applyProtection="0">
      <alignment horizontal="left" vertical="top" indent="1"/>
    </xf>
    <xf numFmtId="349" fontId="55" fillId="19" borderId="127" applyNumberFormat="0" applyProtection="0">
      <alignment horizontal="left" vertical="top" indent="1"/>
    </xf>
    <xf numFmtId="4" fontId="55" fillId="29" borderId="128" applyNumberFormat="0" applyProtection="0">
      <alignment horizontal="left" vertical="center" indent="1"/>
    </xf>
    <xf numFmtId="4" fontId="55" fillId="22" borderId="128" applyNumberFormat="0" applyProtection="0">
      <alignment horizontal="right" vertical="center"/>
    </xf>
    <xf numFmtId="4" fontId="268" fillId="61" borderId="127" applyNumberFormat="0" applyProtection="0">
      <alignment horizontal="left" vertical="center" indent="1"/>
    </xf>
    <xf numFmtId="349" fontId="17" fillId="0" borderId="131" applyNumberFormat="0" applyFill="0" applyAlignment="0" applyProtection="0"/>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0" borderId="127" applyNumberFormat="0" applyProtection="0">
      <alignment horizontal="left" vertical="top" indent="1"/>
    </xf>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264" fillId="127" borderId="122" applyNumberFormat="0" applyAlignment="0" applyProtection="0"/>
    <xf numFmtId="349" fontId="55" fillId="13" borderId="122" applyNumberFormat="0" applyFont="0" applyAlignment="0" applyProtection="0"/>
    <xf numFmtId="4" fontId="266" fillId="45" borderId="122" applyNumberFormat="0" applyProtection="0">
      <alignment vertical="center"/>
    </xf>
    <xf numFmtId="4" fontId="55" fillId="27" borderId="122" applyNumberFormat="0" applyProtection="0">
      <alignment horizontal="right" vertical="center"/>
    </xf>
    <xf numFmtId="349" fontId="55" fillId="31" borderId="127" applyNumberFormat="0" applyProtection="0">
      <alignment horizontal="left" vertical="top" indent="1"/>
    </xf>
    <xf numFmtId="349" fontId="55" fillId="31" borderId="127" applyNumberFormat="0" applyProtection="0">
      <alignment horizontal="left" vertical="top"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268" fillId="34" borderId="127" applyNumberFormat="0" applyProtection="0">
      <alignment horizontal="left" vertical="top" indent="1"/>
    </xf>
    <xf numFmtId="349" fontId="17" fillId="0" borderId="131" applyNumberFormat="0" applyFill="0" applyAlignment="0" applyProtection="0"/>
    <xf numFmtId="349" fontId="55" fillId="30" borderId="127" applyNumberFormat="0" applyProtection="0">
      <alignment horizontal="left" vertical="top" indent="1"/>
    </xf>
    <xf numFmtId="349" fontId="55" fillId="32" borderId="122" applyNumberFormat="0" applyProtection="0">
      <alignment horizontal="left" vertical="center"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11" fillId="31" borderId="127" applyNumberFormat="0" applyProtection="0">
      <alignment horizontal="left" vertical="top" indent="1"/>
    </xf>
    <xf numFmtId="4" fontId="11" fillId="31" borderId="128" applyNumberFormat="0" applyProtection="0">
      <alignment horizontal="left" vertical="center" indent="1"/>
    </xf>
    <xf numFmtId="4" fontId="55" fillId="26" borderId="122" applyNumberFormat="0" applyProtection="0">
      <alignment horizontal="right" vertical="center"/>
    </xf>
    <xf numFmtId="349" fontId="55" fillId="13" borderId="122" applyNumberFormat="0" applyFont="0" applyAlignment="0" applyProtection="0"/>
    <xf numFmtId="4" fontId="55" fillId="18" borderId="122" applyNumberFormat="0" applyProtection="0">
      <alignment vertical="center"/>
    </xf>
    <xf numFmtId="4" fontId="55" fillId="29" borderId="128" applyNumberFormat="0" applyProtection="0">
      <alignment horizontal="left" vertical="center" indent="1"/>
    </xf>
    <xf numFmtId="349" fontId="11" fillId="31" borderId="127" applyNumberFormat="0" applyProtection="0">
      <alignment horizontal="left" vertical="center" indent="1"/>
    </xf>
    <xf numFmtId="349" fontId="11" fillId="19" borderId="127" applyNumberFormat="0" applyProtection="0">
      <alignment horizontal="left" vertical="top" indent="1"/>
    </xf>
    <xf numFmtId="349" fontId="55" fillId="13" borderId="122" applyNumberFormat="0" applyFont="0" applyAlignment="0" applyProtection="0"/>
    <xf numFmtId="214" fontId="66" fillId="0" borderId="28" applyFill="0"/>
    <xf numFmtId="349" fontId="55" fillId="30" borderId="127" applyNumberFormat="0" applyProtection="0">
      <alignment horizontal="left" vertical="top"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55" fillId="31" borderId="127" applyNumberFormat="0" applyProtection="0">
      <alignment horizontal="left" vertical="top" indent="1"/>
    </xf>
    <xf numFmtId="4" fontId="55" fillId="19" borderId="122" applyNumberFormat="0" applyProtection="0">
      <alignment horizontal="right" vertical="center"/>
    </xf>
    <xf numFmtId="4" fontId="55" fillId="45" borderId="122" applyNumberFormat="0" applyProtection="0">
      <alignment horizontal="left" vertical="center" indent="1"/>
    </xf>
    <xf numFmtId="4" fontId="266" fillId="50" borderId="122" applyNumberFormat="0" applyProtection="0">
      <alignment horizontal="right" vertical="center"/>
    </xf>
    <xf numFmtId="349" fontId="55" fillId="30" borderId="127" applyNumberFormat="0" applyProtection="0">
      <alignment horizontal="left" vertical="top" indent="1"/>
    </xf>
    <xf numFmtId="349" fontId="268" fillId="19" borderId="127" applyNumberFormat="0" applyProtection="0">
      <alignment horizontal="left" vertical="top" indent="1"/>
    </xf>
    <xf numFmtId="4" fontId="270" fillId="33" borderId="122" applyNumberFormat="0" applyProtection="0">
      <alignment horizontal="right" vertical="center"/>
    </xf>
    <xf numFmtId="4" fontId="268" fillId="61" borderId="127" applyNumberFormat="0" applyProtection="0">
      <alignment horizontal="left" vertical="center" indent="1"/>
    </xf>
    <xf numFmtId="349" fontId="11" fillId="30" borderId="127" applyNumberFormat="0" applyProtection="0">
      <alignment horizontal="left" vertical="center" indent="1"/>
    </xf>
    <xf numFmtId="349" fontId="55" fillId="32" borderId="127" applyNumberFormat="0" applyProtection="0">
      <alignment horizontal="left" vertical="top" indent="1"/>
    </xf>
    <xf numFmtId="349" fontId="55" fillId="19" borderId="127" applyNumberFormat="0" applyProtection="0">
      <alignment horizontal="left" vertical="top" indent="1"/>
    </xf>
    <xf numFmtId="349" fontId="55" fillId="19" borderId="127" applyNumberFormat="0" applyProtection="0">
      <alignment horizontal="left" vertical="top" indent="1"/>
    </xf>
    <xf numFmtId="349" fontId="55" fillId="31" borderId="127" applyNumberFormat="0" applyProtection="0">
      <alignment horizontal="left" vertical="top" indent="1"/>
    </xf>
    <xf numFmtId="349" fontId="11" fillId="30" borderId="127" applyNumberFormat="0" applyProtection="0">
      <alignment horizontal="left" vertical="top" indent="1"/>
    </xf>
    <xf numFmtId="4" fontId="11" fillId="31" borderId="128" applyNumberFormat="0" applyProtection="0">
      <alignment horizontal="left" vertical="center" indent="1"/>
    </xf>
    <xf numFmtId="349" fontId="11" fillId="31" borderId="127" applyNumberFormat="0" applyProtection="0">
      <alignment horizontal="left" vertical="top" indent="1"/>
    </xf>
    <xf numFmtId="4" fontId="55" fillId="22" borderId="128" applyNumberFormat="0" applyProtection="0">
      <alignment horizontal="right" vertical="center"/>
    </xf>
    <xf numFmtId="349" fontId="55" fillId="61" borderId="122" applyNumberFormat="0" applyProtection="0">
      <alignment horizontal="left" vertical="center" indent="1"/>
    </xf>
    <xf numFmtId="4" fontId="55" fillId="45" borderId="122" applyNumberFormat="0" applyProtection="0">
      <alignment horizontal="left" vertical="center" indent="1"/>
    </xf>
    <xf numFmtId="349" fontId="55" fillId="13" borderId="122" applyNumberFormat="0" applyFont="0" applyAlignment="0" applyProtection="0"/>
    <xf numFmtId="349" fontId="55" fillId="13" borderId="122" applyNumberFormat="0" applyFont="0" applyAlignment="0" applyProtection="0"/>
    <xf numFmtId="349" fontId="264" fillId="127" borderId="122" applyNumberFormat="0" applyAlignment="0" applyProtection="0"/>
    <xf numFmtId="349" fontId="55" fillId="13" borderId="122" applyNumberFormat="0" applyFont="0" applyAlignment="0" applyProtection="0"/>
    <xf numFmtId="4" fontId="55" fillId="20" borderId="122" applyNumberFormat="0" applyProtection="0">
      <alignment horizontal="right" vertical="center"/>
    </xf>
    <xf numFmtId="4" fontId="55" fillId="29" borderId="128" applyNumberFormat="0" applyProtection="0">
      <alignment horizontal="left" vertical="center" indent="1"/>
    </xf>
    <xf numFmtId="349" fontId="11" fillId="31" borderId="127" applyNumberFormat="0" applyProtection="0">
      <alignment horizontal="left" vertical="top" indent="1"/>
    </xf>
    <xf numFmtId="349" fontId="55" fillId="83" borderId="122" applyNumberFormat="0" applyProtection="0">
      <alignment horizontal="left" vertical="center" indent="1"/>
    </xf>
    <xf numFmtId="349" fontId="55" fillId="19" borderId="127" applyNumberFormat="0" applyProtection="0">
      <alignment horizontal="left" vertical="top" indent="1"/>
    </xf>
    <xf numFmtId="349" fontId="55" fillId="32" borderId="127" applyNumberFormat="0" applyProtection="0">
      <alignment horizontal="left" vertical="top" indent="1"/>
    </xf>
    <xf numFmtId="349" fontId="55" fillId="31" borderId="127" applyNumberFormat="0" applyProtection="0">
      <alignment horizontal="left" vertical="top" indent="1"/>
    </xf>
    <xf numFmtId="4" fontId="55" fillId="28" borderId="122" applyNumberFormat="0" applyProtection="0">
      <alignment horizontal="right" vertical="center"/>
    </xf>
    <xf numFmtId="4" fontId="55" fillId="27" borderId="122" applyNumberFormat="0" applyProtection="0">
      <alignment horizontal="right" vertical="center"/>
    </xf>
    <xf numFmtId="349" fontId="55" fillId="31" borderId="127" applyNumberFormat="0" applyProtection="0">
      <alignment horizontal="left" vertical="top" indent="1"/>
    </xf>
    <xf numFmtId="349" fontId="55" fillId="32" borderId="127" applyNumberFormat="0" applyProtection="0">
      <alignment horizontal="left" vertical="top" indent="1"/>
    </xf>
    <xf numFmtId="349" fontId="264" fillId="127" borderId="122" applyNumberFormat="0" applyAlignment="0" applyProtection="0"/>
    <xf numFmtId="349" fontId="55" fillId="19" borderId="127" applyNumberFormat="0" applyProtection="0">
      <alignment horizontal="left" vertical="top" indent="1"/>
    </xf>
    <xf numFmtId="349" fontId="55" fillId="30" borderId="127" applyNumberFormat="0" applyProtection="0">
      <alignment horizontal="left" vertical="top" indent="1"/>
    </xf>
    <xf numFmtId="4" fontId="55" fillId="64" borderId="122" applyNumberFormat="0" applyProtection="0">
      <alignment horizontal="left" vertical="center" indent="1"/>
    </xf>
    <xf numFmtId="4" fontId="55" fillId="0" borderId="122" applyNumberFormat="0" applyProtection="0">
      <alignment horizontal="right" vertical="center"/>
    </xf>
    <xf numFmtId="349" fontId="55" fillId="13" borderId="122" applyNumberFormat="0" applyFont="0" applyAlignment="0" applyProtection="0"/>
    <xf numFmtId="349" fontId="144" fillId="14" borderId="122" applyNumberFormat="0" applyAlignment="0" applyProtection="0"/>
    <xf numFmtId="349" fontId="267" fillId="18" borderId="127" applyNumberFormat="0" applyProtection="0">
      <alignment horizontal="left" vertical="top" indent="1"/>
    </xf>
    <xf numFmtId="349" fontId="55" fillId="13" borderId="122" applyNumberFormat="0" applyFont="0" applyAlignment="0" applyProtection="0"/>
    <xf numFmtId="349" fontId="55" fillId="30" borderId="122" applyNumberFormat="0" applyProtection="0">
      <alignment horizontal="left" vertical="center" indent="1"/>
    </xf>
    <xf numFmtId="169" fontId="14" fillId="0" borderId="0" applyFont="0" applyFill="0" applyBorder="0" applyAlignment="0" applyProtection="0"/>
    <xf numFmtId="169" fontId="14" fillId="0" borderId="0" applyFont="0" applyFill="0" applyBorder="0" applyAlignment="0" applyProtection="0"/>
    <xf numFmtId="349" fontId="264" fillId="127" borderId="122" applyNumberFormat="0" applyAlignment="0" applyProtection="0"/>
    <xf numFmtId="4" fontId="266" fillId="50" borderId="122" applyNumberFormat="0" applyProtection="0">
      <alignment horizontal="right" vertical="center"/>
    </xf>
    <xf numFmtId="349" fontId="144" fillId="14" borderId="122" applyNumberFormat="0" applyAlignment="0" applyProtection="0"/>
    <xf numFmtId="169" fontId="14" fillId="0" borderId="0" applyFont="0" applyFill="0" applyBorder="0" applyAlignment="0" applyProtection="0"/>
    <xf numFmtId="349" fontId="264" fillId="127" borderId="122" applyNumberFormat="0" applyAlignment="0" applyProtection="0"/>
    <xf numFmtId="4" fontId="55" fillId="45" borderId="122" applyNumberFormat="0" applyProtection="0">
      <alignment horizontal="left" vertical="center" indent="1"/>
    </xf>
    <xf numFmtId="349" fontId="144" fillId="14" borderId="122" applyNumberFormat="0" applyAlignment="0" applyProtection="0"/>
    <xf numFmtId="4" fontId="55" fillId="64" borderId="122" applyNumberFormat="0" applyProtection="0">
      <alignment horizontal="left" vertical="center" indent="1"/>
    </xf>
    <xf numFmtId="4" fontId="55" fillId="26" borderId="122" applyNumberFormat="0" applyProtection="0">
      <alignment horizontal="right" vertical="center"/>
    </xf>
    <xf numFmtId="169" fontId="14" fillId="0" borderId="0" applyFont="0" applyFill="0" applyBorder="0" applyAlignment="0" applyProtection="0"/>
    <xf numFmtId="4" fontId="270" fillId="33" borderId="122" applyNumberFormat="0" applyProtection="0">
      <alignment horizontal="right" vertical="center"/>
    </xf>
    <xf numFmtId="4" fontId="55" fillId="23" borderId="122" applyNumberFormat="0" applyProtection="0">
      <alignment horizontal="right" vertical="center"/>
    </xf>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172" fontId="9" fillId="43" borderId="6">
      <alignment vertical="center"/>
    </xf>
    <xf numFmtId="172" fontId="9" fillId="3" borderId="6">
      <alignment vertical="center"/>
      <protection locked="0"/>
    </xf>
    <xf numFmtId="0" fontId="3" fillId="0" borderId="0"/>
    <xf numFmtId="0" fontId="9" fillId="0" borderId="0"/>
    <xf numFmtId="0" fontId="14" fillId="0" borderId="0"/>
    <xf numFmtId="0" fontId="9" fillId="0" borderId="0"/>
    <xf numFmtId="9" fontId="3" fillId="0" borderId="0" applyFont="0" applyFill="0" applyBorder="0" applyAlignment="0" applyProtection="0"/>
    <xf numFmtId="185" fontId="9" fillId="0" borderId="0"/>
    <xf numFmtId="10" fontId="38" fillId="0" borderId="0" applyFont="0" applyFill="0" applyBorder="0" applyAlignment="0" applyProtection="0">
      <alignment vertical="center"/>
    </xf>
    <xf numFmtId="169" fontId="9" fillId="0" borderId="0" applyFont="0" applyFill="0" applyBorder="0" applyAlignment="0" applyProtection="0"/>
    <xf numFmtId="9" fontId="9" fillId="0" borderId="0" applyFont="0" applyFill="0" applyBorder="0" applyAlignment="0" applyProtection="0"/>
  </cellStyleXfs>
  <cellXfs count="1484">
    <xf numFmtId="0" fontId="0" fillId="0" borderId="0" xfId="0"/>
    <xf numFmtId="0" fontId="10" fillId="0" borderId="0" xfId="0" applyFont="1"/>
    <xf numFmtId="0" fontId="12" fillId="42" borderId="0" xfId="7" applyFont="1" applyFill="1"/>
    <xf numFmtId="0" fontId="0" fillId="0" borderId="0" xfId="0" applyAlignment="1">
      <alignment horizontal="center" vertical="top" wrapText="1"/>
    </xf>
    <xf numFmtId="0" fontId="26" fillId="0" borderId="0" xfId="75" applyFont="1"/>
    <xf numFmtId="0" fontId="35" fillId="0" borderId="0" xfId="75" applyFont="1"/>
    <xf numFmtId="0" fontId="32" fillId="47" borderId="0" xfId="90" applyFont="1" applyFill="1" applyAlignment="1">
      <alignment horizontal="left"/>
    </xf>
    <xf numFmtId="0" fontId="26" fillId="0" borderId="0" xfId="93" applyFont="1"/>
    <xf numFmtId="0" fontId="33" fillId="0" borderId="0" xfId="75" applyFont="1"/>
    <xf numFmtId="0" fontId="34" fillId="0" borderId="0" xfId="75" applyFont="1"/>
    <xf numFmtId="0" fontId="0" fillId="0" borderId="0" xfId="0" applyAlignment="1">
      <alignment vertical="center"/>
    </xf>
    <xf numFmtId="0" fontId="0" fillId="0" borderId="0" xfId="0" applyAlignment="1">
      <alignment horizontal="center" wrapText="1"/>
    </xf>
    <xf numFmtId="0" fontId="28" fillId="0" borderId="0" xfId="0" applyFont="1" applyAlignment="1">
      <alignment horizontal="right" indent="1"/>
    </xf>
    <xf numFmtId="0" fontId="0" fillId="0" borderId="0" xfId="0" applyAlignment="1">
      <alignment horizontal="center" vertical="center" wrapText="1"/>
    </xf>
    <xf numFmtId="0" fontId="12" fillId="0" borderId="0" xfId="7" applyFont="1" applyAlignment="1">
      <alignment horizontal="center"/>
    </xf>
    <xf numFmtId="177" fontId="12" fillId="38" borderId="65" xfId="1" applyNumberFormat="1" applyFont="1" applyFill="1" applyBorder="1" applyProtection="1"/>
    <xf numFmtId="177" fontId="12" fillId="38" borderId="66" xfId="1" applyNumberFormat="1" applyFont="1" applyFill="1" applyBorder="1" applyProtection="1"/>
    <xf numFmtId="177" fontId="12" fillId="38" borderId="67" xfId="1" applyNumberFormat="1" applyFont="1" applyFill="1" applyBorder="1" applyProtection="1"/>
    <xf numFmtId="177" fontId="12" fillId="38" borderId="59" xfId="1" applyNumberFormat="1" applyFont="1" applyFill="1" applyBorder="1" applyProtection="1"/>
    <xf numFmtId="177" fontId="12" fillId="38" borderId="60" xfId="1" applyNumberFormat="1" applyFont="1" applyFill="1" applyBorder="1" applyProtection="1"/>
    <xf numFmtId="177" fontId="12" fillId="38" borderId="61" xfId="1" applyNumberFormat="1" applyFont="1" applyFill="1" applyBorder="1" applyProtection="1"/>
    <xf numFmtId="177" fontId="12" fillId="38" borderId="71" xfId="1" applyNumberFormat="1" applyFont="1" applyFill="1" applyBorder="1" applyProtection="1"/>
    <xf numFmtId="177" fontId="12" fillId="38" borderId="72" xfId="1" applyNumberFormat="1" applyFont="1" applyFill="1" applyBorder="1" applyProtection="1"/>
    <xf numFmtId="177" fontId="12" fillId="38" borderId="73" xfId="1" applyNumberFormat="1" applyFont="1" applyFill="1" applyBorder="1" applyProtection="1"/>
    <xf numFmtId="1" fontId="10" fillId="2" borderId="71" xfId="0" applyNumberFormat="1" applyFont="1" applyFill="1" applyBorder="1" applyAlignment="1">
      <alignment horizontal="center" vertical="center"/>
    </xf>
    <xf numFmtId="1" fontId="10" fillId="2" borderId="72" xfId="0" applyNumberFormat="1" applyFont="1" applyFill="1" applyBorder="1" applyAlignment="1">
      <alignment horizontal="center" vertical="center"/>
    </xf>
    <xf numFmtId="177" fontId="13" fillId="38" borderId="71" xfId="1" applyNumberFormat="1" applyFont="1" applyFill="1" applyBorder="1" applyProtection="1"/>
    <xf numFmtId="177" fontId="13"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2" fillId="38" borderId="64" xfId="77" applyNumberFormat="1" applyFont="1" applyFill="1" applyBorder="1" applyProtection="1"/>
    <xf numFmtId="177" fontId="12" fillId="39" borderId="59" xfId="1" applyNumberFormat="1" applyFont="1" applyFill="1" applyBorder="1" applyProtection="1"/>
    <xf numFmtId="177" fontId="12" fillId="39" borderId="60" xfId="1" applyNumberFormat="1" applyFont="1" applyFill="1" applyBorder="1" applyProtection="1"/>
    <xf numFmtId="175" fontId="12"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10"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2" fillId="39" borderId="85" xfId="1" applyNumberFormat="1" applyFont="1" applyFill="1" applyBorder="1" applyProtection="1"/>
    <xf numFmtId="177" fontId="12" fillId="39" borderId="81" xfId="1" applyNumberFormat="1" applyFont="1" applyFill="1" applyBorder="1" applyProtection="1"/>
    <xf numFmtId="177" fontId="12" fillId="39" borderId="82" xfId="1" applyNumberFormat="1" applyFont="1" applyFill="1" applyBorder="1" applyProtection="1"/>
    <xf numFmtId="177" fontId="12" fillId="39" borderId="86" xfId="1" applyNumberFormat="1" applyFont="1" applyFill="1" applyBorder="1" applyProtection="1"/>
    <xf numFmtId="177" fontId="12" fillId="39" borderId="87" xfId="1" applyNumberFormat="1" applyFont="1" applyFill="1" applyBorder="1" applyProtection="1"/>
    <xf numFmtId="0" fontId="36" fillId="0" borderId="0" xfId="92" applyAlignment="1">
      <alignment horizontal="left" indent="1"/>
    </xf>
    <xf numFmtId="0" fontId="28" fillId="0" borderId="0" xfId="0" applyFont="1" applyAlignment="1">
      <alignment horizontal="center"/>
    </xf>
    <xf numFmtId="0" fontId="0" fillId="0" borderId="63" xfId="0" applyBorder="1" applyAlignment="1">
      <alignment horizontal="center"/>
    </xf>
    <xf numFmtId="0" fontId="251" fillId="42" borderId="0" xfId="78" applyFont="1" applyFill="1" applyProtection="1">
      <protection locked="0"/>
    </xf>
    <xf numFmtId="0" fontId="252" fillId="42" borderId="0" xfId="78" applyFont="1" applyFill="1" applyProtection="1">
      <protection locked="0"/>
    </xf>
    <xf numFmtId="0" fontId="251" fillId="0" borderId="0" xfId="78" applyFont="1" applyProtection="1">
      <protection locked="0"/>
    </xf>
    <xf numFmtId="0" fontId="255" fillId="0" borderId="0" xfId="85" applyFont="1" applyProtection="1">
      <protection locked="0"/>
    </xf>
    <xf numFmtId="177" fontId="12" fillId="38" borderId="102" xfId="1" applyNumberFormat="1" applyFont="1" applyFill="1" applyBorder="1" applyProtection="1"/>
    <xf numFmtId="9" fontId="9" fillId="43" borderId="65" xfId="77" applyFill="1" applyBorder="1" applyAlignment="1" applyProtection="1">
      <alignment vertical="center"/>
    </xf>
    <xf numFmtId="9" fontId="9" fillId="43" borderId="66" xfId="77" applyFill="1" applyBorder="1" applyAlignment="1" applyProtection="1">
      <alignment vertical="center"/>
    </xf>
    <xf numFmtId="9" fontId="9" fillId="43" borderId="92" xfId="77" applyFill="1" applyBorder="1" applyAlignment="1" applyProtection="1">
      <alignment vertical="center"/>
    </xf>
    <xf numFmtId="9" fontId="9" fillId="43" borderId="114" xfId="77" applyFill="1" applyBorder="1" applyAlignment="1" applyProtection="1">
      <alignment vertical="center"/>
    </xf>
    <xf numFmtId="9" fontId="9" fillId="3" borderId="59" xfId="77" applyFill="1" applyBorder="1" applyAlignment="1" applyProtection="1">
      <alignment vertical="center"/>
      <protection locked="0"/>
    </xf>
    <xf numFmtId="10" fontId="0" fillId="0" borderId="64" xfId="0" applyNumberFormat="1" applyBorder="1"/>
    <xf numFmtId="3" fontId="13" fillId="0" borderId="0" xfId="89" applyNumberFormat="1" applyFont="1" applyAlignment="1">
      <alignment horizontal="left" indent="1"/>
    </xf>
    <xf numFmtId="0" fontId="0" fillId="53" borderId="0" xfId="0" applyFill="1" applyAlignment="1">
      <alignment horizontal="left" indent="1"/>
    </xf>
    <xf numFmtId="0" fontId="249"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9" fontId="9" fillId="3" borderId="96" xfId="77" applyFill="1" applyBorder="1" applyAlignment="1" applyProtection="1">
      <alignment vertical="center"/>
      <protection locked="0"/>
    </xf>
    <xf numFmtId="0" fontId="249" fillId="116" borderId="0" xfId="0" applyFont="1" applyFill="1"/>
    <xf numFmtId="0" fontId="249" fillId="116" borderId="0" xfId="0" applyFont="1" applyFill="1" applyAlignment="1">
      <alignment horizontal="left" indent="1"/>
    </xf>
    <xf numFmtId="0" fontId="249" fillId="116" borderId="0" xfId="0" applyFont="1" applyFill="1" applyAlignment="1">
      <alignment wrapText="1"/>
    </xf>
    <xf numFmtId="0" fontId="13" fillId="0" borderId="0" xfId="77" applyNumberFormat="1" applyFont="1" applyFill="1" applyBorder="1" applyAlignment="1" applyProtection="1">
      <alignment horizontal="left" indent="1"/>
    </xf>
    <xf numFmtId="0" fontId="12" fillId="0" borderId="0" xfId="77" applyNumberFormat="1" applyFont="1" applyFill="1" applyBorder="1" applyAlignment="1" applyProtection="1">
      <alignment horizontal="center"/>
    </xf>
    <xf numFmtId="175" fontId="13" fillId="0" borderId="0" xfId="77" applyNumberFormat="1" applyFont="1" applyFill="1" applyBorder="1" applyProtection="1"/>
    <xf numFmtId="9" fontId="9" fillId="3" borderId="59" xfId="95" applyNumberFormat="1" applyFill="1" applyBorder="1" applyAlignment="1" applyProtection="1">
      <alignment vertical="center"/>
      <protection locked="0"/>
    </xf>
    <xf numFmtId="9" fontId="9" fillId="3" borderId="60" xfId="95" applyNumberFormat="1" applyFill="1" applyBorder="1" applyAlignment="1" applyProtection="1">
      <alignment vertical="center"/>
      <protection locked="0"/>
    </xf>
    <xf numFmtId="9" fontId="9" fillId="3" borderId="96" xfId="95" applyNumberFormat="1" applyFill="1" applyBorder="1" applyAlignment="1" applyProtection="1">
      <alignment vertical="center"/>
      <protection locked="0"/>
    </xf>
    <xf numFmtId="9" fontId="9" fillId="3" borderId="112" xfId="95" applyNumberFormat="1" applyFill="1" applyBorder="1" applyAlignment="1" applyProtection="1">
      <alignment vertical="center"/>
      <protection locked="0"/>
    </xf>
    <xf numFmtId="175" fontId="12" fillId="38" borderId="59" xfId="77" applyNumberFormat="1" applyFont="1" applyFill="1" applyBorder="1" applyProtection="1"/>
    <xf numFmtId="175" fontId="12" fillId="38" borderId="61" xfId="77" applyNumberFormat="1" applyFont="1" applyFill="1" applyBorder="1" applyProtection="1"/>
    <xf numFmtId="177" fontId="12" fillId="38" borderId="68" xfId="1" applyNumberFormat="1" applyFont="1" applyFill="1" applyBorder="1" applyProtection="1"/>
    <xf numFmtId="177" fontId="12" fillId="38" borderId="69" xfId="1" applyNumberFormat="1" applyFont="1" applyFill="1" applyBorder="1" applyProtection="1"/>
    <xf numFmtId="0" fontId="13" fillId="53" borderId="0" xfId="77" applyNumberFormat="1" applyFont="1" applyFill="1" applyBorder="1" applyAlignment="1" applyProtection="1">
      <alignment horizontal="left" indent="1"/>
    </xf>
    <xf numFmtId="0" fontId="12" fillId="53" borderId="0" xfId="77" applyNumberFormat="1" applyFont="1" applyFill="1" applyBorder="1" applyAlignment="1" applyProtection="1">
      <alignment horizontal="center"/>
    </xf>
    <xf numFmtId="175" fontId="13" fillId="53" borderId="0" xfId="77" applyNumberFormat="1" applyFont="1" applyFill="1" applyBorder="1" applyProtection="1"/>
    <xf numFmtId="0" fontId="13" fillId="116" borderId="0" xfId="77" applyNumberFormat="1" applyFont="1" applyFill="1" applyBorder="1" applyAlignment="1" applyProtection="1">
      <alignment horizontal="left" indent="1"/>
    </xf>
    <xf numFmtId="0" fontId="12" fillId="116" borderId="0" xfId="77" applyNumberFormat="1" applyFont="1" applyFill="1" applyBorder="1" applyAlignment="1" applyProtection="1">
      <alignment horizontal="left" indent="1"/>
    </xf>
    <xf numFmtId="0" fontId="12" fillId="42" borderId="0" xfId="7" applyFont="1" applyFill="1" applyAlignment="1">
      <alignment horizontal="left" indent="1"/>
    </xf>
    <xf numFmtId="178" fontId="0" fillId="117" borderId="63" xfId="0" applyNumberFormat="1" applyFill="1" applyBorder="1" applyAlignment="1">
      <alignment horizontal="right" indent="1"/>
    </xf>
    <xf numFmtId="177" fontId="12" fillId="38" borderId="78" xfId="1" applyNumberFormat="1" applyFont="1" applyFill="1" applyBorder="1" applyProtection="1"/>
    <xf numFmtId="177" fontId="12" fillId="38" borderId="89" xfId="1" applyNumberFormat="1" applyFont="1" applyFill="1" applyBorder="1" applyProtection="1"/>
    <xf numFmtId="177" fontId="12" fillId="38" borderId="120" xfId="1" applyNumberFormat="1" applyFont="1" applyFill="1" applyBorder="1" applyProtection="1"/>
    <xf numFmtId="177" fontId="12" fillId="52" borderId="59" xfId="1" applyNumberFormat="1" applyFont="1" applyFill="1" applyBorder="1" applyProtection="1"/>
    <xf numFmtId="0" fontId="10" fillId="0" borderId="0" xfId="0" applyFont="1" applyAlignment="1" applyProtection="1">
      <alignment horizontal="left" indent="1"/>
      <protection locked="0"/>
    </xf>
    <xf numFmtId="0" fontId="10" fillId="53" borderId="0" xfId="0" applyFont="1" applyFill="1" applyAlignment="1">
      <alignment horizontal="left" vertical="top" indent="1"/>
    </xf>
    <xf numFmtId="0" fontId="0" fillId="0" borderId="0" xfId="0" applyAlignment="1" applyProtection="1">
      <alignment horizontal="left" indent="1"/>
      <protection locked="0"/>
    </xf>
    <xf numFmtId="0" fontId="10" fillId="0" borderId="0" xfId="0" applyFont="1" applyAlignment="1">
      <alignment horizontal="left" indent="1"/>
    </xf>
    <xf numFmtId="177" fontId="12" fillId="3" borderId="59" xfId="85" applyNumberFormat="1" applyFont="1" applyFill="1" applyBorder="1" applyProtection="1">
      <protection locked="0"/>
    </xf>
    <xf numFmtId="177" fontId="12" fillId="3" borderId="60" xfId="85" applyNumberFormat="1" applyFont="1" applyFill="1" applyBorder="1" applyProtection="1">
      <protection locked="0"/>
    </xf>
    <xf numFmtId="177" fontId="12" fillId="3" borderId="96" xfId="85" applyNumberFormat="1" applyFont="1" applyFill="1" applyBorder="1" applyProtection="1">
      <protection locked="0"/>
    </xf>
    <xf numFmtId="177" fontId="12" fillId="3" borderId="62" xfId="85" applyNumberFormat="1" applyFont="1" applyFill="1" applyBorder="1" applyProtection="1">
      <protection locked="0"/>
    </xf>
    <xf numFmtId="177" fontId="12" fillId="3" borderId="63" xfId="85" applyNumberFormat="1" applyFont="1" applyFill="1" applyBorder="1" applyProtection="1">
      <protection locked="0"/>
    </xf>
    <xf numFmtId="177" fontId="12" fillId="3" borderId="94" xfId="85" applyNumberFormat="1" applyFont="1" applyFill="1" applyBorder="1" applyProtection="1">
      <protection locked="0"/>
    </xf>
    <xf numFmtId="177" fontId="12" fillId="3" borderId="76" xfId="85" applyNumberFormat="1" applyFont="1" applyFill="1" applyBorder="1" applyProtection="1">
      <protection locked="0"/>
    </xf>
    <xf numFmtId="177" fontId="12" fillId="3" borderId="84" xfId="85" applyNumberFormat="1" applyFont="1" applyFill="1" applyBorder="1" applyProtection="1">
      <protection locked="0"/>
    </xf>
    <xf numFmtId="177" fontId="12" fillId="3" borderId="119" xfId="85" applyNumberFormat="1" applyFont="1" applyFill="1" applyBorder="1" applyProtection="1">
      <protection locked="0"/>
    </xf>
    <xf numFmtId="177" fontId="12" fillId="3" borderId="68" xfId="85" applyNumberFormat="1" applyFont="1" applyFill="1" applyBorder="1" applyProtection="1">
      <protection locked="0"/>
    </xf>
    <xf numFmtId="177" fontId="12" fillId="3" borderId="69" xfId="85" applyNumberFormat="1" applyFont="1" applyFill="1" applyBorder="1" applyProtection="1">
      <protection locked="0"/>
    </xf>
    <xf numFmtId="177" fontId="12" fillId="3" borderId="110" xfId="85" applyNumberFormat="1" applyFont="1" applyFill="1" applyBorder="1" applyProtection="1">
      <protection locked="0"/>
    </xf>
    <xf numFmtId="177" fontId="9"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9" fillId="0" borderId="0" xfId="0" applyFont="1" applyAlignment="1">
      <alignment horizontal="left" indent="1"/>
    </xf>
    <xf numFmtId="0" fontId="249" fillId="0" borderId="0" xfId="0" applyFont="1" applyAlignment="1">
      <alignment wrapText="1"/>
    </xf>
    <xf numFmtId="0" fontId="249" fillId="0" borderId="0" xfId="0" applyFont="1"/>
    <xf numFmtId="3" fontId="0" fillId="0" borderId="0" xfId="0" applyNumberFormat="1"/>
    <xf numFmtId="0" fontId="0" fillId="52" borderId="78" xfId="0" applyFill="1" applyBorder="1" applyAlignment="1">
      <alignment horizontal="left" vertical="center" wrapText="1" indent="1"/>
    </xf>
    <xf numFmtId="0" fontId="32" fillId="42" borderId="0" xfId="90" applyFont="1" applyFill="1" applyAlignment="1">
      <alignment horizontal="left"/>
    </xf>
    <xf numFmtId="10" fontId="9" fillId="3" borderId="59" xfId="95" applyNumberFormat="1" applyFill="1" applyBorder="1" applyAlignment="1" applyProtection="1">
      <alignment vertical="center"/>
      <protection locked="0"/>
    </xf>
    <xf numFmtId="10" fontId="9" fillId="3" borderId="60" xfId="95" applyNumberFormat="1" applyFill="1" applyBorder="1" applyAlignment="1" applyProtection="1">
      <alignment vertical="center"/>
      <protection locked="0"/>
    </xf>
    <xf numFmtId="10" fontId="9" fillId="3" borderId="96" xfId="95" applyNumberFormat="1" applyFill="1" applyBorder="1" applyAlignment="1" applyProtection="1">
      <alignment vertical="center"/>
      <protection locked="0"/>
    </xf>
    <xf numFmtId="9" fontId="9" fillId="3" borderId="60" xfId="77" applyFill="1" applyBorder="1" applyAlignment="1" applyProtection="1">
      <alignment vertical="center"/>
      <protection locked="0"/>
    </xf>
    <xf numFmtId="0" fontId="12" fillId="0" borderId="0" xfId="7" applyFont="1" applyAlignment="1">
      <alignment horizontal="left" vertical="center" wrapText="1" indent="1"/>
    </xf>
    <xf numFmtId="172" fontId="12"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3" fillId="51" borderId="71" xfId="1" applyNumberFormat="1" applyFont="1" applyFill="1" applyBorder="1" applyProtection="1"/>
    <xf numFmtId="175" fontId="12" fillId="116" borderId="71" xfId="1" applyNumberFormat="1" applyFont="1" applyFill="1" applyBorder="1" applyProtection="1"/>
    <xf numFmtId="175" fontId="12" fillId="116" borderId="72" xfId="1" applyNumberFormat="1" applyFont="1" applyFill="1" applyBorder="1" applyProtection="1"/>
    <xf numFmtId="175" fontId="12" fillId="51" borderId="71" xfId="1" applyNumberFormat="1" applyFont="1" applyFill="1" applyBorder="1" applyProtection="1"/>
    <xf numFmtId="175" fontId="12" fillId="51" borderId="72" xfId="1" applyNumberFormat="1" applyFont="1" applyFill="1" applyBorder="1" applyProtection="1"/>
    <xf numFmtId="0" fontId="273" fillId="47" borderId="0" xfId="90" applyFont="1" applyFill="1" applyAlignment="1">
      <alignment horizontal="left"/>
    </xf>
    <xf numFmtId="0" fontId="272" fillId="47" borderId="0" xfId="0" applyFont="1" applyFill="1"/>
    <xf numFmtId="0" fontId="274" fillId="47" borderId="0" xfId="92" applyFont="1" applyFill="1" applyAlignment="1">
      <alignment wrapText="1"/>
    </xf>
    <xf numFmtId="0" fontId="272" fillId="47" borderId="0" xfId="0" applyFont="1" applyFill="1" applyAlignment="1">
      <alignment wrapText="1"/>
    </xf>
    <xf numFmtId="0" fontId="272" fillId="47" borderId="0" xfId="0" applyFont="1" applyFill="1" applyAlignment="1">
      <alignment horizontal="left" indent="1"/>
    </xf>
    <xf numFmtId="0" fontId="272" fillId="47" borderId="11" xfId="0" applyFont="1" applyFill="1" applyBorder="1" applyAlignment="1">
      <alignment wrapText="1"/>
    </xf>
    <xf numFmtId="0" fontId="272"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2" fillId="0" borderId="100" xfId="89" applyNumberFormat="1" applyFont="1" applyBorder="1" applyAlignment="1">
      <alignment horizontal="left" indent="1"/>
    </xf>
    <xf numFmtId="348" fontId="0" fillId="0" borderId="63" xfId="0" applyNumberFormat="1" applyBorder="1" applyAlignment="1">
      <alignment horizontal="right" indent="1"/>
    </xf>
    <xf numFmtId="3" fontId="12" fillId="0" borderId="98" xfId="89" applyNumberFormat="1" applyFont="1" applyBorder="1" applyAlignment="1">
      <alignment horizontal="left" indent="1"/>
    </xf>
    <xf numFmtId="183" fontId="12" fillId="0" borderId="0" xfId="7" applyNumberFormat="1" applyFont="1" applyAlignment="1">
      <alignment horizontal="center" vertical="center"/>
    </xf>
    <xf numFmtId="0" fontId="12" fillId="42" borderId="0" xfId="7" applyFont="1" applyFill="1" applyAlignment="1">
      <alignment horizontal="center"/>
    </xf>
    <xf numFmtId="173" fontId="38"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2" fillId="0" borderId="0" xfId="0" applyFont="1"/>
    <xf numFmtId="350" fontId="12" fillId="0" borderId="0" xfId="0" applyNumberFormat="1" applyFont="1"/>
    <xf numFmtId="347" fontId="248"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8" fillId="0" borderId="0" xfId="0" applyFont="1"/>
    <xf numFmtId="0" fontId="0" fillId="0" borderId="0" xfId="0" applyAlignment="1" applyProtection="1">
      <alignment horizontal="center"/>
      <protection locked="0"/>
    </xf>
    <xf numFmtId="0" fontId="12"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2" fillId="42" borderId="135" xfId="7" applyFont="1" applyFill="1" applyBorder="1" applyAlignment="1">
      <alignment horizontal="left" indent="1"/>
    </xf>
    <xf numFmtId="1" fontId="10" fillId="2" borderId="136" xfId="0" applyNumberFormat="1" applyFont="1" applyFill="1" applyBorder="1" applyAlignment="1">
      <alignment horizontal="center" vertical="center"/>
    </xf>
    <xf numFmtId="1" fontId="10"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2" fillId="38" borderId="135" xfId="1" applyNumberFormat="1" applyFont="1" applyFill="1" applyBorder="1" applyProtection="1"/>
    <xf numFmtId="177" fontId="12" fillId="38" borderId="136" xfId="1" applyNumberFormat="1" applyFont="1" applyFill="1" applyBorder="1" applyProtection="1"/>
    <xf numFmtId="177" fontId="12"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1" fillId="48" borderId="0" xfId="78" applyFont="1" applyFill="1" applyProtection="1">
      <protection locked="0"/>
    </xf>
    <xf numFmtId="0" fontId="252" fillId="48" borderId="0" xfId="78" applyFont="1" applyFill="1" applyProtection="1">
      <protection locked="0"/>
    </xf>
    <xf numFmtId="0" fontId="250" fillId="48" borderId="0" xfId="78" applyFont="1" applyFill="1" applyAlignment="1" applyProtection="1">
      <alignment horizontal="left"/>
      <protection locked="0"/>
    </xf>
    <xf numFmtId="177" fontId="12" fillId="38" borderId="76" xfId="1" applyNumberFormat="1" applyFont="1" applyFill="1" applyBorder="1" applyProtection="1"/>
    <xf numFmtId="177" fontId="13" fillId="38" borderId="139" xfId="1" applyNumberFormat="1" applyFont="1" applyFill="1" applyBorder="1" applyProtection="1"/>
    <xf numFmtId="177" fontId="13" fillId="38" borderId="140" xfId="1" applyNumberFormat="1" applyFont="1" applyFill="1" applyBorder="1" applyProtection="1"/>
    <xf numFmtId="177" fontId="13" fillId="38" borderId="141" xfId="1" applyNumberFormat="1" applyFont="1" applyFill="1" applyBorder="1" applyProtection="1"/>
    <xf numFmtId="0" fontId="0" fillId="0" borderId="142" xfId="0" applyBorder="1"/>
    <xf numFmtId="175" fontId="13" fillId="38" borderId="139" xfId="77" applyNumberFormat="1" applyFont="1" applyFill="1" applyBorder="1" applyProtection="1"/>
    <xf numFmtId="175" fontId="13" fillId="38" borderId="141" xfId="77" applyNumberFormat="1" applyFont="1" applyFill="1" applyBorder="1" applyProtection="1"/>
    <xf numFmtId="175" fontId="13" fillId="38" borderId="140" xfId="77" applyNumberFormat="1" applyFont="1" applyFill="1" applyBorder="1" applyProtection="1"/>
    <xf numFmtId="175" fontId="12" fillId="38" borderId="77" xfId="77" applyNumberFormat="1" applyFont="1" applyFill="1" applyBorder="1" applyProtection="1"/>
    <xf numFmtId="175" fontId="13" fillId="38" borderId="143" xfId="77" applyNumberFormat="1" applyFont="1" applyFill="1" applyBorder="1" applyProtection="1"/>
    <xf numFmtId="175" fontId="12"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3" fillId="0" borderId="0" xfId="90" applyFont="1" applyAlignment="1">
      <alignment horizontal="left"/>
    </xf>
    <xf numFmtId="0" fontId="272" fillId="0" borderId="0" xfId="0" applyFont="1"/>
    <xf numFmtId="0" fontId="272" fillId="0" borderId="0" xfId="0" applyFont="1" applyAlignment="1">
      <alignment wrapText="1"/>
    </xf>
    <xf numFmtId="0" fontId="12" fillId="0" borderId="11" xfId="77" applyNumberFormat="1" applyFont="1" applyFill="1" applyBorder="1" applyAlignment="1" applyProtection="1">
      <alignment horizontal="center"/>
    </xf>
    <xf numFmtId="0" fontId="12" fillId="51" borderId="0" xfId="77" applyNumberFormat="1" applyFont="1" applyFill="1" applyBorder="1" applyAlignment="1" applyProtection="1">
      <alignment horizontal="left" indent="1"/>
    </xf>
    <xf numFmtId="0" fontId="13"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2"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10" fillId="53" borderId="148" xfId="0" applyNumberFormat="1" applyFont="1" applyFill="1" applyBorder="1" applyAlignment="1">
      <alignment horizontal="center" vertical="center"/>
    </xf>
    <xf numFmtId="1" fontId="10"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2" fillId="0" borderId="150" xfId="89" applyNumberFormat="1" applyFont="1" applyBorder="1" applyAlignment="1">
      <alignment horizontal="left" indent="1"/>
    </xf>
    <xf numFmtId="0" fontId="0" fillId="0" borderId="151" xfId="0" applyBorder="1" applyAlignment="1">
      <alignment horizontal="center"/>
    </xf>
    <xf numFmtId="3" fontId="12" fillId="0" borderId="144" xfId="89" applyNumberFormat="1" applyFont="1" applyBorder="1" applyAlignment="1">
      <alignment horizontal="left" indent="1"/>
    </xf>
    <xf numFmtId="3" fontId="12" fillId="0" borderId="154" xfId="89" applyNumberFormat="1" applyFont="1" applyBorder="1" applyAlignment="1">
      <alignment horizontal="left" indent="1"/>
    </xf>
    <xf numFmtId="0" fontId="0" fillId="0" borderId="146" xfId="0" applyBorder="1" applyAlignment="1">
      <alignment horizontal="center"/>
    </xf>
    <xf numFmtId="0" fontId="12"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2" fillId="0" borderId="159" xfId="7" applyFont="1" applyBorder="1" applyAlignment="1">
      <alignment horizontal="center" vertical="center" wrapText="1"/>
    </xf>
    <xf numFmtId="0" fontId="0" fillId="0" borderId="6" xfId="0" applyBorder="1" applyAlignment="1">
      <alignment horizontal="left" vertical="center"/>
    </xf>
    <xf numFmtId="0" fontId="249" fillId="0" borderId="6" xfId="0" applyFont="1" applyBorder="1" applyAlignment="1">
      <alignment horizontal="center" vertical="center"/>
    </xf>
    <xf numFmtId="0" fontId="0" fillId="0" borderId="0" xfId="0" applyAlignment="1" applyProtection="1">
      <alignment horizontal="left" vertical="center"/>
      <protection locked="0"/>
    </xf>
    <xf numFmtId="0" fontId="36"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2" fillId="0" borderId="6" xfId="7" applyFont="1" applyBorder="1" applyAlignment="1">
      <alignment horizontal="left" indent="1"/>
    </xf>
    <xf numFmtId="0" fontId="12" fillId="36" borderId="6" xfId="75" applyFont="1" applyFill="1" applyBorder="1" applyAlignment="1">
      <alignment horizontal="right" vertical="center"/>
    </xf>
    <xf numFmtId="0" fontId="27" fillId="36" borderId="6" xfId="75" applyFont="1" applyFill="1" applyBorder="1"/>
    <xf numFmtId="1" fontId="12" fillId="38" borderId="6" xfId="1" applyNumberFormat="1" applyFont="1" applyFill="1" applyBorder="1" applyAlignment="1" applyProtection="1">
      <alignment horizontal="right" vertical="center"/>
    </xf>
    <xf numFmtId="0" fontId="27" fillId="38" borderId="6" xfId="75" applyFont="1" applyFill="1" applyBorder="1"/>
    <xf numFmtId="0" fontId="12" fillId="0" borderId="6" xfId="7" applyFont="1" applyBorder="1" applyAlignment="1">
      <alignment horizontal="left" wrapText="1" indent="1"/>
    </xf>
    <xf numFmtId="0" fontId="12" fillId="36" borderId="6" xfId="75" applyFont="1" applyFill="1" applyBorder="1" applyAlignment="1">
      <alignment vertical="center"/>
    </xf>
    <xf numFmtId="0" fontId="27" fillId="39" borderId="6" xfId="75" applyFont="1" applyFill="1" applyBorder="1"/>
    <xf numFmtId="0" fontId="27" fillId="40" borderId="6" xfId="75" applyFont="1" applyFill="1" applyBorder="1"/>
    <xf numFmtId="180" fontId="12" fillId="36" borderId="6" xfId="75" applyNumberFormat="1" applyFont="1" applyFill="1" applyBorder="1" applyAlignment="1">
      <alignment vertical="center"/>
    </xf>
    <xf numFmtId="0" fontId="27" fillId="37" borderId="6" xfId="75" applyFont="1" applyFill="1" applyBorder="1"/>
    <xf numFmtId="0" fontId="27" fillId="41" borderId="6" xfId="75" applyFont="1" applyFill="1" applyBorder="1"/>
    <xf numFmtId="0" fontId="27" fillId="0" borderId="6" xfId="75" applyFont="1" applyBorder="1"/>
    <xf numFmtId="0" fontId="272" fillId="47" borderId="142" xfId="0" applyFont="1" applyFill="1" applyBorder="1" applyAlignment="1">
      <alignment wrapText="1"/>
    </xf>
    <xf numFmtId="175" fontId="12" fillId="38" borderId="6" xfId="77" applyNumberFormat="1" applyFont="1" applyFill="1" applyBorder="1" applyAlignment="1" applyProtection="1">
      <alignment vertical="center"/>
    </xf>
    <xf numFmtId="0" fontId="249" fillId="132" borderId="6" xfId="0" applyFont="1" applyFill="1" applyBorder="1" applyAlignment="1">
      <alignment horizontal="center" vertical="center"/>
    </xf>
    <xf numFmtId="10" fontId="12"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2" fillId="42" borderId="6" xfId="7" applyNumberFormat="1" applyFont="1" applyFill="1" applyBorder="1" applyAlignment="1">
      <alignment horizontal="center" vertical="center"/>
    </xf>
    <xf numFmtId="0" fontId="10" fillId="2" borderId="6" xfId="0" applyFont="1" applyFill="1" applyBorder="1" applyAlignment="1">
      <alignment horizontal="center" vertical="center"/>
    </xf>
    <xf numFmtId="0" fontId="13" fillId="2" borderId="6" xfId="7" applyFont="1" applyFill="1" applyBorder="1" applyAlignment="1">
      <alignment horizontal="center" vertical="center"/>
    </xf>
    <xf numFmtId="0" fontId="0" fillId="0" borderId="6" xfId="0" applyBorder="1" applyAlignment="1">
      <alignment wrapText="1"/>
    </xf>
    <xf numFmtId="0" fontId="12"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5" fillId="0" borderId="6" xfId="75" applyFont="1" applyBorder="1" applyAlignment="1">
      <alignment horizontal="center" vertical="center"/>
    </xf>
    <xf numFmtId="0" fontId="26" fillId="0" borderId="6" xfId="75" applyFont="1" applyBorder="1" applyAlignment="1">
      <alignment horizontal="center"/>
    </xf>
    <xf numFmtId="180" fontId="12" fillId="36" borderId="6" xfId="75" applyNumberFormat="1" applyFont="1" applyFill="1" applyBorder="1"/>
    <xf numFmtId="177" fontId="12" fillId="38" borderId="6" xfId="1" applyNumberFormat="1" applyFont="1" applyFill="1" applyBorder="1" applyProtection="1"/>
    <xf numFmtId="172" fontId="12" fillId="3" borderId="6" xfId="85" applyNumberFormat="1" applyFont="1" applyFill="1" applyBorder="1" applyProtection="1">
      <protection locked="0"/>
    </xf>
    <xf numFmtId="177" fontId="12" fillId="38" borderId="6" xfId="1" applyNumberFormat="1" applyFont="1" applyFill="1" applyBorder="1" applyAlignment="1" applyProtection="1">
      <alignment horizontal="right"/>
    </xf>
    <xf numFmtId="9" fontId="11"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3"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2" fillId="51" borderId="0" xfId="1" applyNumberFormat="1" applyFont="1" applyFill="1" applyBorder="1" applyAlignment="1" applyProtection="1">
      <alignment horizontal="left" indent="1"/>
    </xf>
    <xf numFmtId="3" fontId="12" fillId="51" borderId="0" xfId="77" applyNumberFormat="1" applyFont="1" applyFill="1" applyBorder="1" applyAlignment="1" applyProtection="1">
      <alignment horizontal="left" indent="1"/>
    </xf>
    <xf numFmtId="0" fontId="273" fillId="47" borderId="166" xfId="90" applyFont="1" applyFill="1" applyBorder="1" applyAlignment="1">
      <alignment horizontal="left"/>
    </xf>
    <xf numFmtId="0" fontId="27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6" fillId="46" borderId="0" xfId="48239" applyFont="1" applyFill="1" applyAlignment="1">
      <alignment horizontal="center" vertical="top" wrapText="1"/>
    </xf>
    <xf numFmtId="177" fontId="9" fillId="3" borderId="68" xfId="95" applyNumberFormat="1" applyFill="1" applyBorder="1" applyAlignment="1" applyProtection="1">
      <alignment vertical="center"/>
      <protection locked="0"/>
    </xf>
    <xf numFmtId="177" fontId="9" fillId="3" borderId="82" xfId="95" applyNumberFormat="1" applyFill="1" applyBorder="1" applyAlignment="1" applyProtection="1">
      <alignment vertical="center"/>
      <protection locked="0"/>
    </xf>
    <xf numFmtId="9" fontId="10" fillId="43" borderId="65" xfId="77" applyFont="1" applyFill="1" applyBorder="1" applyAlignment="1" applyProtection="1">
      <alignment vertical="center"/>
    </xf>
    <xf numFmtId="9" fontId="10" fillId="43" borderId="66" xfId="77" applyFont="1" applyFill="1" applyBorder="1" applyAlignment="1" applyProtection="1">
      <alignment vertical="center"/>
    </xf>
    <xf numFmtId="9" fontId="10" fillId="43" borderId="92" xfId="77" applyFont="1" applyFill="1" applyBorder="1" applyAlignment="1" applyProtection="1">
      <alignment vertical="center"/>
    </xf>
    <xf numFmtId="9" fontId="10" fillId="43" borderId="114" xfId="77" applyFont="1" applyFill="1" applyBorder="1" applyAlignment="1" applyProtection="1">
      <alignment vertical="center"/>
    </xf>
    <xf numFmtId="0" fontId="3" fillId="0" borderId="0" xfId="51698"/>
    <xf numFmtId="0" fontId="9" fillId="0" borderId="0" xfId="51698" applyFont="1"/>
    <xf numFmtId="0" fontId="0" fillId="0" borderId="180" xfId="0" applyBorder="1"/>
    <xf numFmtId="0" fontId="0" fillId="0" borderId="89" xfId="0" applyBorder="1"/>
    <xf numFmtId="0" fontId="0" fillId="0" borderId="90" xfId="0" applyBorder="1"/>
    <xf numFmtId="0" fontId="296" fillId="137" borderId="0" xfId="51698" applyFont="1" applyFill="1"/>
    <xf numFmtId="0" fontId="294" fillId="47" borderId="0" xfId="51698" applyFont="1" applyFill="1"/>
    <xf numFmtId="0" fontId="295" fillId="47" borderId="0" xfId="51698" applyFont="1" applyFill="1"/>
    <xf numFmtId="0" fontId="294" fillId="47" borderId="142" xfId="51698" applyFont="1" applyFill="1" applyBorder="1"/>
    <xf numFmtId="0" fontId="295" fillId="47" borderId="142" xfId="51698" applyFont="1" applyFill="1" applyBorder="1"/>
    <xf numFmtId="0" fontId="295" fillId="47" borderId="11" xfId="51698" applyFont="1" applyFill="1" applyBorder="1"/>
    <xf numFmtId="0" fontId="295" fillId="47" borderId="90" xfId="51698" applyFont="1" applyFill="1" applyBorder="1"/>
    <xf numFmtId="0" fontId="0" fillId="101" borderId="0" xfId="0" applyFill="1"/>
    <xf numFmtId="0" fontId="10" fillId="53" borderId="177" xfId="0" applyFont="1" applyFill="1" applyBorder="1" applyAlignment="1">
      <alignment wrapText="1"/>
    </xf>
    <xf numFmtId="0" fontId="10" fillId="53" borderId="178" xfId="0" applyFont="1" applyFill="1" applyBorder="1" applyAlignment="1">
      <alignment wrapText="1"/>
    </xf>
    <xf numFmtId="14" fontId="10" fillId="53" borderId="177" xfId="0" applyNumberFormat="1" applyFont="1" applyFill="1" applyBorder="1" applyAlignment="1">
      <alignment wrapText="1"/>
    </xf>
    <xf numFmtId="354" fontId="10" fillId="53" borderId="177" xfId="77" applyNumberFormat="1" applyFont="1" applyFill="1" applyBorder="1" applyAlignment="1">
      <alignment wrapText="1"/>
    </xf>
    <xf numFmtId="0" fontId="10" fillId="53" borderId="181" xfId="0" applyFont="1" applyFill="1" applyBorder="1" applyAlignment="1">
      <alignment wrapText="1"/>
    </xf>
    <xf numFmtId="0" fontId="252" fillId="0" borderId="0" xfId="78" applyFont="1" applyProtection="1">
      <protection locked="0"/>
    </xf>
    <xf numFmtId="0" fontId="250" fillId="0" borderId="0" xfId="79" applyFont="1" applyAlignment="1" applyProtection="1">
      <alignment horizontal="left"/>
      <protection locked="0"/>
    </xf>
    <xf numFmtId="0" fontId="0" fillId="0" borderId="6" xfId="0" applyBorder="1" applyAlignment="1">
      <alignment vertical="center" wrapText="1"/>
    </xf>
    <xf numFmtId="15" fontId="246" fillId="46" borderId="179" xfId="48239" applyNumberFormat="1" applyFont="1" applyFill="1" applyBorder="1" applyAlignment="1">
      <alignment horizontal="center" vertical="top" wrapText="1"/>
    </xf>
    <xf numFmtId="0" fontId="246" fillId="46" borderId="179" xfId="48239" applyFont="1" applyFill="1" applyBorder="1" applyAlignment="1">
      <alignment vertical="top" wrapText="1"/>
    </xf>
    <xf numFmtId="0" fontId="246"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2"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2" fillId="0" borderId="0" xfId="85" applyNumberFormat="1" applyFont="1" applyProtection="1">
      <protection locked="0"/>
    </xf>
    <xf numFmtId="172" fontId="12" fillId="0" borderId="107" xfId="85" applyNumberFormat="1" applyFont="1" applyBorder="1" applyProtection="1">
      <protection locked="0"/>
    </xf>
    <xf numFmtId="172" fontId="12" fillId="3" borderId="0" xfId="85" applyNumberFormat="1" applyFont="1" applyFill="1" applyProtection="1">
      <protection locked="0"/>
    </xf>
    <xf numFmtId="0" fontId="249" fillId="0" borderId="0" xfId="0" applyFont="1" applyAlignment="1">
      <alignment horizontal="center" vertical="center"/>
    </xf>
    <xf numFmtId="3" fontId="12" fillId="0" borderId="6" xfId="89" applyNumberFormat="1" applyFont="1" applyBorder="1" applyAlignment="1">
      <alignment horizontal="left" indent="1"/>
    </xf>
    <xf numFmtId="0" fontId="13" fillId="0" borderId="6" xfId="7" applyFont="1" applyBorder="1" applyAlignment="1">
      <alignment horizontal="left" indent="1"/>
    </xf>
    <xf numFmtId="178" fontId="12" fillId="38" borderId="6" xfId="1" applyNumberFormat="1" applyFont="1" applyFill="1" applyBorder="1" applyAlignment="1">
      <alignment horizontal="right" vertical="center"/>
    </xf>
    <xf numFmtId="3" fontId="12" fillId="139" borderId="6" xfId="89" applyNumberFormat="1" applyFont="1" applyFill="1" applyBorder="1" applyAlignment="1">
      <alignment horizontal="left" indent="1"/>
    </xf>
    <xf numFmtId="184" fontId="12"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1" fillId="0" borderId="0" xfId="0" applyFont="1"/>
    <xf numFmtId="0" fontId="291" fillId="0" borderId="0" xfId="0" applyFont="1" applyAlignment="1">
      <alignment horizontal="left" indent="1"/>
    </xf>
    <xf numFmtId="178" fontId="0" fillId="52" borderId="63" xfId="0" applyNumberFormat="1" applyFill="1" applyBorder="1" applyAlignment="1">
      <alignment horizontal="right" indent="1"/>
    </xf>
    <xf numFmtId="0" fontId="272" fillId="0" borderId="0" xfId="0" applyFont="1" applyAlignment="1">
      <alignment horizontal="left" indent="1"/>
    </xf>
    <xf numFmtId="0" fontId="27" fillId="0" borderId="0" xfId="75" applyFont="1" applyProtection="1">
      <protection locked="0"/>
    </xf>
    <xf numFmtId="0" fontId="27" fillId="0" borderId="0" xfId="75" applyFont="1" applyAlignment="1">
      <alignment horizontal="left" indent="1"/>
    </xf>
    <xf numFmtId="0" fontId="27" fillId="0" borderId="0" xfId="75" applyFont="1" applyAlignment="1">
      <alignment horizontal="left" vertical="center" indent="1"/>
    </xf>
    <xf numFmtId="0" fontId="12" fillId="0" borderId="0" xfId="7" applyFont="1" applyAlignment="1">
      <alignment horizontal="left" indent="1"/>
    </xf>
    <xf numFmtId="0" fontId="273" fillId="47" borderId="180" xfId="90" applyFont="1" applyFill="1" applyBorder="1" applyAlignment="1">
      <alignment horizontal="left"/>
    </xf>
    <xf numFmtId="0" fontId="0" fillId="52" borderId="180" xfId="0" applyFill="1" applyBorder="1" applyAlignment="1">
      <alignment horizontal="center" wrapText="1"/>
    </xf>
    <xf numFmtId="169" fontId="249" fillId="0" borderId="0" xfId="0" applyNumberFormat="1" applyFont="1"/>
    <xf numFmtId="177" fontId="12" fillId="3" borderId="81" xfId="85" applyNumberFormat="1" applyFont="1" applyFill="1" applyBorder="1" applyProtection="1">
      <protection locked="0"/>
    </xf>
    <xf numFmtId="177" fontId="12" fillId="3" borderId="87" xfId="85" applyNumberFormat="1" applyFont="1" applyFill="1" applyBorder="1" applyProtection="1">
      <protection locked="0"/>
    </xf>
    <xf numFmtId="177" fontId="12" fillId="3" borderId="85" xfId="85" applyNumberFormat="1" applyFont="1" applyFill="1" applyBorder="1" applyProtection="1">
      <protection locked="0"/>
    </xf>
    <xf numFmtId="177" fontId="12" fillId="3" borderId="82" xfId="85" applyNumberFormat="1" applyFont="1" applyFill="1" applyBorder="1" applyProtection="1">
      <protection locked="0"/>
    </xf>
    <xf numFmtId="10" fontId="9" fillId="3" borderId="85" xfId="95" applyNumberFormat="1" applyFill="1" applyBorder="1" applyAlignment="1" applyProtection="1">
      <alignment vertical="center"/>
      <protection locked="0"/>
    </xf>
    <xf numFmtId="9" fontId="9" fillId="43" borderId="86" xfId="77" applyFill="1" applyBorder="1" applyAlignment="1" applyProtection="1">
      <alignment vertical="center"/>
    </xf>
    <xf numFmtId="9" fontId="9" fillId="3" borderId="85" xfId="77" applyFill="1" applyBorder="1" applyAlignment="1" applyProtection="1">
      <alignment vertical="center"/>
      <protection locked="0"/>
    </xf>
    <xf numFmtId="177" fontId="12" fillId="3" borderId="100" xfId="85" applyNumberFormat="1" applyFont="1" applyFill="1" applyBorder="1" applyProtection="1">
      <protection locked="0"/>
    </xf>
    <xf numFmtId="0" fontId="255" fillId="0" borderId="185" xfId="85" applyFont="1" applyBorder="1" applyProtection="1">
      <protection locked="0"/>
    </xf>
    <xf numFmtId="177" fontId="12" fillId="3" borderId="189" xfId="85" applyNumberFormat="1" applyFont="1" applyFill="1" applyBorder="1" applyProtection="1">
      <protection locked="0"/>
    </xf>
    <xf numFmtId="177" fontId="12" fillId="3" borderId="192" xfId="85" applyNumberFormat="1" applyFont="1" applyFill="1" applyBorder="1" applyProtection="1">
      <protection locked="0"/>
    </xf>
    <xf numFmtId="177" fontId="12" fillId="3" borderId="191" xfId="85" applyNumberFormat="1" applyFont="1" applyFill="1" applyBorder="1" applyProtection="1">
      <protection locked="0"/>
    </xf>
    <xf numFmtId="177" fontId="12" fillId="3" borderId="188" xfId="85" applyNumberFormat="1" applyFont="1" applyFill="1" applyBorder="1" applyProtection="1">
      <protection locked="0"/>
    </xf>
    <xf numFmtId="177" fontId="12" fillId="3" borderId="193" xfId="85" applyNumberFormat="1" applyFont="1" applyFill="1" applyBorder="1" applyProtection="1">
      <protection locked="0"/>
    </xf>
    <xf numFmtId="10" fontId="9" fillId="3" borderId="188" xfId="95" applyNumberFormat="1" applyFill="1" applyBorder="1" applyAlignment="1" applyProtection="1">
      <alignment vertical="center"/>
      <protection locked="0"/>
    </xf>
    <xf numFmtId="9" fontId="9" fillId="43" borderId="187" xfId="77" applyFill="1" applyBorder="1" applyAlignment="1" applyProtection="1">
      <alignment vertical="center"/>
    </xf>
    <xf numFmtId="9" fontId="9" fillId="3" borderId="188" xfId="77" applyFill="1" applyBorder="1" applyAlignment="1" applyProtection="1">
      <alignment vertical="center"/>
      <protection locked="0"/>
    </xf>
    <xf numFmtId="0" fontId="272"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3" fillId="47" borderId="166" xfId="90" applyFont="1" applyFill="1" applyBorder="1" applyAlignment="1" applyProtection="1">
      <alignment horizontal="left"/>
      <protection locked="0"/>
    </xf>
    <xf numFmtId="0" fontId="273" fillId="47" borderId="130" xfId="90" applyFont="1" applyFill="1" applyBorder="1" applyAlignment="1" applyProtection="1">
      <alignment horizontal="left" indent="1"/>
      <protection locked="0"/>
    </xf>
    <xf numFmtId="0" fontId="273" fillId="47" borderId="130" xfId="90" applyFont="1" applyFill="1" applyBorder="1" applyAlignment="1" applyProtection="1">
      <alignment horizontal="left"/>
      <protection locked="0"/>
    </xf>
    <xf numFmtId="0" fontId="32" fillId="47" borderId="130" xfId="90" applyFont="1" applyFill="1" applyBorder="1" applyAlignment="1" applyProtection="1">
      <alignment horizontal="left"/>
      <protection locked="0"/>
    </xf>
    <xf numFmtId="0" fontId="34" fillId="47" borderId="130" xfId="75" applyFont="1" applyFill="1" applyBorder="1" applyProtection="1">
      <protection locked="0"/>
    </xf>
    <xf numFmtId="0" fontId="273" fillId="47" borderId="180" xfId="90" applyFont="1" applyFill="1" applyBorder="1" applyAlignment="1" applyProtection="1">
      <alignment horizontal="left"/>
      <protection locked="0"/>
    </xf>
    <xf numFmtId="0" fontId="273" fillId="47" borderId="0" xfId="90" applyFont="1" applyFill="1" applyAlignment="1" applyProtection="1">
      <alignment horizontal="left" indent="1"/>
      <protection locked="0"/>
    </xf>
    <xf numFmtId="0" fontId="273" fillId="47" borderId="0" xfId="90" applyFont="1" applyFill="1" applyAlignment="1" applyProtection="1">
      <alignment horizontal="left"/>
      <protection locked="0"/>
    </xf>
    <xf numFmtId="0" fontId="32" fillId="47" borderId="0" xfId="90" applyFont="1" applyFill="1" applyAlignment="1" applyProtection="1">
      <alignment horizontal="left"/>
      <protection locked="0"/>
    </xf>
    <xf numFmtId="0" fontId="34" fillId="47" borderId="0" xfId="75" applyFont="1" applyFill="1" applyProtection="1">
      <protection locked="0"/>
    </xf>
    <xf numFmtId="0" fontId="34" fillId="47" borderId="11" xfId="75" applyFont="1" applyFill="1" applyBorder="1" applyProtection="1">
      <protection locked="0"/>
    </xf>
    <xf numFmtId="0" fontId="32" fillId="47" borderId="142" xfId="90" applyFont="1" applyFill="1" applyBorder="1" applyAlignment="1" applyProtection="1">
      <alignment horizontal="left"/>
      <protection locked="0"/>
    </xf>
    <xf numFmtId="0" fontId="34" fillId="47" borderId="142" xfId="75" applyFont="1" applyFill="1" applyBorder="1" applyProtection="1">
      <protection locked="0"/>
    </xf>
    <xf numFmtId="0" fontId="34"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10"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10" fillId="2" borderId="59" xfId="0" applyNumberFormat="1" applyFont="1" applyFill="1" applyBorder="1" applyAlignment="1" applyProtection="1">
      <alignment horizontal="center" vertical="center" wrapText="1"/>
      <protection locked="0"/>
    </xf>
    <xf numFmtId="1" fontId="10"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1" fillId="0" borderId="0" xfId="0" applyFont="1" applyProtection="1">
      <protection locked="0"/>
    </xf>
    <xf numFmtId="0" fontId="0" fillId="51" borderId="0" xfId="0" applyFill="1" applyAlignment="1" applyProtection="1">
      <alignment horizontal="left" indent="1"/>
      <protection locked="0"/>
    </xf>
    <xf numFmtId="0" fontId="273" fillId="47" borderId="130" xfId="90" applyFont="1" applyFill="1" applyBorder="1" applyAlignment="1">
      <alignment horizontal="left" indent="1"/>
    </xf>
    <xf numFmtId="0" fontId="273" fillId="47" borderId="130" xfId="90" applyFont="1" applyFill="1" applyBorder="1" applyAlignment="1">
      <alignment horizontal="left"/>
    </xf>
    <xf numFmtId="0" fontId="32" fillId="47" borderId="130" xfId="90" applyFont="1" applyFill="1" applyBorder="1" applyAlignment="1">
      <alignment horizontal="left"/>
    </xf>
    <xf numFmtId="0" fontId="34" fillId="47" borderId="130" xfId="75" applyFont="1" applyFill="1" applyBorder="1"/>
    <xf numFmtId="0" fontId="33" fillId="47" borderId="167" xfId="75" applyFont="1" applyFill="1" applyBorder="1"/>
    <xf numFmtId="0" fontId="273" fillId="47" borderId="0" xfId="90" applyFont="1" applyFill="1" applyAlignment="1">
      <alignment horizontal="left" indent="1"/>
    </xf>
    <xf numFmtId="0" fontId="34" fillId="47" borderId="0" xfId="75" applyFont="1" applyFill="1"/>
    <xf numFmtId="0" fontId="34" fillId="47" borderId="11" xfId="75" applyFont="1" applyFill="1" applyBorder="1"/>
    <xf numFmtId="0" fontId="32" fillId="47" borderId="142" xfId="90" applyFont="1" applyFill="1" applyBorder="1" applyAlignment="1">
      <alignment horizontal="left"/>
    </xf>
    <xf numFmtId="0" fontId="34" fillId="47" borderId="142" xfId="75" applyFont="1" applyFill="1" applyBorder="1"/>
    <xf numFmtId="0" fontId="34"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10" fillId="2" borderId="71" xfId="0" applyFont="1" applyFill="1" applyBorder="1" applyAlignment="1">
      <alignment horizontal="center" vertical="center"/>
    </xf>
    <xf numFmtId="1" fontId="10" fillId="2" borderId="59" xfId="0" applyNumberFormat="1" applyFont="1" applyFill="1" applyBorder="1" applyAlignment="1">
      <alignment horizontal="center" vertical="center" wrapText="1"/>
    </xf>
    <xf numFmtId="1" fontId="10" fillId="2" borderId="61" xfId="0" applyNumberFormat="1" applyFont="1" applyFill="1" applyBorder="1" applyAlignment="1">
      <alignment horizontal="center" vertical="center" wrapText="1"/>
    </xf>
    <xf numFmtId="1" fontId="10" fillId="2" borderId="59" xfId="0" applyNumberFormat="1" applyFont="1" applyFill="1" applyBorder="1" applyAlignment="1">
      <alignment horizontal="center" vertical="center"/>
    </xf>
    <xf numFmtId="0" fontId="10" fillId="53" borderId="0" xfId="0" applyFont="1" applyFill="1" applyAlignment="1">
      <alignment horizontal="left" vertical="center" indent="1"/>
    </xf>
    <xf numFmtId="0" fontId="0" fillId="53" borderId="0" xfId="0" applyFill="1" applyAlignment="1">
      <alignment vertical="center"/>
    </xf>
    <xf numFmtId="0" fontId="10"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2" fillId="38" borderId="136" xfId="77" applyNumberFormat="1" applyFont="1" applyFill="1" applyBorder="1" applyProtection="1"/>
    <xf numFmtId="175" fontId="10" fillId="0" borderId="0" xfId="0" applyNumberFormat="1" applyFont="1"/>
    <xf numFmtId="175" fontId="12" fillId="38" borderId="76" xfId="77" applyNumberFormat="1" applyFont="1" applyFill="1" applyBorder="1" applyProtection="1"/>
    <xf numFmtId="0" fontId="31" fillId="0" borderId="0" xfId="0" applyFont="1"/>
    <xf numFmtId="175" fontId="10"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2" fillId="0" borderId="0" xfId="1" applyNumberFormat="1" applyFont="1" applyAlignment="1" applyProtection="1">
      <alignment horizontal="left" indent="1"/>
    </xf>
    <xf numFmtId="0" fontId="10" fillId="51" borderId="0" xfId="0" applyFont="1" applyFill="1" applyAlignment="1">
      <alignment horizontal="left" indent="1"/>
    </xf>
    <xf numFmtId="1" fontId="0" fillId="51" borderId="0" xfId="0" applyNumberFormat="1" applyFill="1" applyAlignment="1">
      <alignment horizontal="center"/>
    </xf>
    <xf numFmtId="0" fontId="12" fillId="51" borderId="0" xfId="0" applyFont="1" applyFill="1" applyAlignment="1">
      <alignment horizontal="left" indent="1"/>
    </xf>
    <xf numFmtId="0" fontId="272"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2" fillId="47" borderId="0" xfId="90" applyFont="1" applyFill="1" applyAlignment="1" applyProtection="1">
      <alignment horizontal="center" vertical="center"/>
      <protection locked="0"/>
    </xf>
    <xf numFmtId="0" fontId="273" fillId="47" borderId="142" xfId="90" applyFont="1" applyFill="1" applyBorder="1" applyAlignment="1" applyProtection="1">
      <alignment horizontal="left" indent="1"/>
      <protection locked="0"/>
    </xf>
    <xf numFmtId="0" fontId="32"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10" fillId="0" borderId="0" xfId="0" applyNumberFormat="1" applyFont="1" applyAlignment="1" applyProtection="1">
      <alignment horizontal="center"/>
      <protection locked="0"/>
    </xf>
    <xf numFmtId="0" fontId="10"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3" fillId="0" borderId="0" xfId="0" applyFont="1" applyAlignment="1" applyProtection="1">
      <alignment horizontal="left" vertical="top" indent="1"/>
      <protection locked="0"/>
    </xf>
    <xf numFmtId="0" fontId="10"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10" fillId="0" borderId="0" xfId="0" applyNumberFormat="1" applyFont="1" applyAlignment="1" applyProtection="1">
      <alignment horizontal="right"/>
      <protection locked="0"/>
    </xf>
    <xf numFmtId="0" fontId="12"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1" fillId="0" borderId="0" xfId="0" applyFont="1" applyProtection="1">
      <protection locked="0"/>
    </xf>
    <xf numFmtId="1" fontId="10" fillId="0" borderId="0" xfId="0" applyNumberFormat="1" applyFont="1" applyAlignment="1" applyProtection="1">
      <alignment horizontal="right"/>
      <protection locked="0"/>
    </xf>
    <xf numFmtId="0" fontId="12" fillId="42" borderId="0" xfId="0" applyFont="1" applyFill="1" applyAlignment="1" applyProtection="1">
      <alignment horizontal="left" vertical="center" indent="1"/>
      <protection locked="0"/>
    </xf>
    <xf numFmtId="0" fontId="12" fillId="0" borderId="0" xfId="0" applyFont="1" applyAlignment="1" applyProtection="1">
      <alignment horizontal="left" vertical="center" indent="1"/>
      <protection locked="0"/>
    </xf>
    <xf numFmtId="1" fontId="10"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9" fillId="0" borderId="0" xfId="0" applyFont="1" applyAlignment="1" applyProtection="1">
      <alignment horizontal="left"/>
      <protection locked="0"/>
    </xf>
    <xf numFmtId="0" fontId="28" fillId="0" borderId="0" xfId="0" applyFont="1" applyProtection="1">
      <protection locked="0"/>
    </xf>
    <xf numFmtId="0" fontId="12"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1"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3" fillId="0" borderId="0" xfId="1" applyNumberFormat="1" applyFont="1" applyFill="1" applyBorder="1" applyProtection="1">
      <protection locked="0"/>
    </xf>
    <xf numFmtId="170" fontId="13" fillId="0" borderId="11" xfId="1" applyNumberFormat="1" applyFont="1" applyFill="1" applyBorder="1" applyProtection="1">
      <protection locked="0"/>
    </xf>
    <xf numFmtId="0" fontId="31" fillId="0" borderId="180" xfId="0" applyFont="1" applyBorder="1" applyProtection="1">
      <protection locked="0"/>
    </xf>
    <xf numFmtId="0" fontId="0" fillId="0" borderId="180" xfId="0" applyBorder="1" applyAlignment="1" applyProtection="1">
      <alignment horizontal="left" vertical="top"/>
      <protection locked="0"/>
    </xf>
    <xf numFmtId="0" fontId="28" fillId="0" borderId="180" xfId="0" applyFont="1" applyBorder="1" applyProtection="1">
      <protection locked="0"/>
    </xf>
    <xf numFmtId="0" fontId="10" fillId="0" borderId="180" xfId="0" applyFont="1" applyBorder="1" applyProtection="1">
      <protection locked="0"/>
    </xf>
    <xf numFmtId="0" fontId="282" fillId="0" borderId="180" xfId="0" applyFont="1" applyBorder="1" applyProtection="1">
      <protection locked="0"/>
    </xf>
    <xf numFmtId="0" fontId="10" fillId="0" borderId="180" xfId="0" applyFont="1" applyBorder="1" applyAlignment="1" applyProtection="1">
      <alignment horizontal="left" vertical="top"/>
      <protection locked="0"/>
    </xf>
    <xf numFmtId="0" fontId="0" fillId="0" borderId="11" xfId="0" applyBorder="1" applyProtection="1">
      <protection locked="0"/>
    </xf>
    <xf numFmtId="0" fontId="10"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10"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10"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10" fillId="51" borderId="59" xfId="1" applyNumberFormat="1" applyFont="1" applyFill="1" applyBorder="1" applyAlignment="1" applyProtection="1">
      <alignment horizontal="right" vertical="top"/>
    </xf>
    <xf numFmtId="170" fontId="12"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2" fillId="54" borderId="6" xfId="75" applyFont="1" applyFill="1" applyBorder="1" applyAlignment="1">
      <alignment horizontal="center" vertical="center"/>
    </xf>
    <xf numFmtId="351" fontId="0" fillId="52" borderId="6" xfId="0" applyNumberFormat="1" applyFill="1" applyBorder="1"/>
    <xf numFmtId="170" fontId="12" fillId="38" borderId="6" xfId="1" applyNumberFormat="1" applyFont="1" applyFill="1" applyBorder="1" applyProtection="1"/>
    <xf numFmtId="170" fontId="13" fillId="38" borderId="6" xfId="1" applyNumberFormat="1" applyFont="1" applyFill="1" applyBorder="1" applyProtection="1"/>
    <xf numFmtId="177" fontId="0" fillId="51" borderId="59" xfId="0" applyNumberFormat="1" applyFill="1" applyBorder="1" applyAlignment="1">
      <alignment horizontal="right" vertical="top"/>
    </xf>
    <xf numFmtId="170" fontId="13" fillId="38" borderId="11" xfId="1" applyNumberFormat="1" applyFont="1" applyFill="1" applyBorder="1" applyProtection="1"/>
    <xf numFmtId="170" fontId="13" fillId="52" borderId="6" xfId="1" applyNumberFormat="1" applyFont="1" applyFill="1" applyBorder="1" applyProtection="1"/>
    <xf numFmtId="0" fontId="32" fillId="47" borderId="130" xfId="90" applyFont="1" applyFill="1" applyBorder="1" applyAlignment="1" applyProtection="1">
      <alignment horizontal="center" vertical="center"/>
      <protection locked="0"/>
    </xf>
    <xf numFmtId="0" fontId="34" fillId="47" borderId="167" xfId="75" applyFont="1" applyFill="1" applyBorder="1" applyProtection="1">
      <protection locked="0"/>
    </xf>
    <xf numFmtId="1" fontId="10" fillId="2" borderId="71" xfId="0" applyNumberFormat="1" applyFont="1" applyFill="1" applyBorder="1" applyAlignment="1" applyProtection="1">
      <alignment horizontal="center" vertical="center"/>
      <protection locked="0"/>
    </xf>
    <xf numFmtId="1" fontId="10" fillId="2" borderId="72" xfId="0" applyNumberFormat="1" applyFont="1" applyFill="1" applyBorder="1" applyAlignment="1" applyProtection="1">
      <alignment horizontal="center" vertical="center"/>
      <protection locked="0"/>
    </xf>
    <xf numFmtId="1" fontId="10" fillId="2" borderId="73" xfId="0" applyNumberFormat="1" applyFont="1" applyFill="1" applyBorder="1" applyAlignment="1" applyProtection="1">
      <alignment horizontal="center" wrapText="1"/>
      <protection locked="0"/>
    </xf>
    <xf numFmtId="0" fontId="10"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2"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10"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4"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10" fillId="0" borderId="0" xfId="0" applyFont="1" applyAlignment="1" applyProtection="1">
      <alignment horizontal="center" vertical="center" wrapText="1"/>
      <protection locked="0"/>
    </xf>
    <xf numFmtId="0" fontId="10"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10"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10"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8"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2" fillId="52" borderId="59" xfId="2" applyNumberFormat="1" applyFont="1" applyFill="1" applyBorder="1" applyAlignment="1" applyProtection="1">
      <alignment vertical="center"/>
    </xf>
    <xf numFmtId="170" fontId="12" fillId="52" borderId="61" xfId="2" applyNumberFormat="1" applyFont="1" applyFill="1" applyBorder="1" applyAlignment="1" applyProtection="1">
      <alignment vertical="center"/>
    </xf>
    <xf numFmtId="170" fontId="12" fillId="52" borderId="68" xfId="2" applyNumberFormat="1" applyFont="1" applyFill="1" applyBorder="1" applyAlignment="1" applyProtection="1">
      <alignment vertical="center"/>
    </xf>
    <xf numFmtId="170" fontId="12"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2" fillId="52" borderId="102" xfId="2" applyNumberFormat="1" applyFont="1" applyFill="1" applyBorder="1" applyAlignment="1" applyProtection="1">
      <alignment vertical="center"/>
    </xf>
    <xf numFmtId="177" fontId="12" fillId="52" borderId="78" xfId="2" applyNumberFormat="1" applyFont="1" applyFill="1" applyBorder="1" applyAlignment="1" applyProtection="1">
      <alignment vertical="center"/>
    </xf>
    <xf numFmtId="177" fontId="12" fillId="52" borderId="103" xfId="2" applyNumberFormat="1" applyFont="1" applyFill="1" applyBorder="1" applyAlignment="1" applyProtection="1">
      <alignment vertical="center"/>
    </xf>
    <xf numFmtId="177" fontId="12"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2" fillId="52" borderId="103" xfId="2" applyNumberFormat="1" applyFont="1" applyFill="1" applyBorder="1" applyAlignment="1" applyProtection="1">
      <alignment vertical="top"/>
    </xf>
    <xf numFmtId="177" fontId="12" fillId="52" borderId="121" xfId="2" applyNumberFormat="1" applyFont="1" applyFill="1" applyBorder="1" applyAlignment="1" applyProtection="1">
      <alignment vertical="top"/>
    </xf>
    <xf numFmtId="177" fontId="10"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2"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5" fillId="47" borderId="166" xfId="90" applyFont="1" applyFill="1" applyBorder="1" applyAlignment="1" applyProtection="1">
      <alignment horizontal="left"/>
      <protection locked="0"/>
    </xf>
    <xf numFmtId="0" fontId="276" fillId="47" borderId="130" xfId="90" applyFont="1" applyFill="1" applyBorder="1" applyAlignment="1" applyProtection="1">
      <alignment horizontal="left"/>
      <protection locked="0"/>
    </xf>
    <xf numFmtId="0" fontId="37" fillId="47" borderId="130" xfId="90" applyFont="1" applyFill="1" applyBorder="1" applyAlignment="1" applyProtection="1">
      <alignment horizontal="center" vertical="center"/>
      <protection locked="0"/>
    </xf>
    <xf numFmtId="0" fontId="37" fillId="47" borderId="130" xfId="90" applyFont="1" applyFill="1" applyBorder="1" applyAlignment="1" applyProtection="1">
      <alignment horizontal="left"/>
      <protection locked="0"/>
    </xf>
    <xf numFmtId="0" fontId="276" fillId="47" borderId="0" xfId="90" applyFont="1" applyFill="1" applyAlignment="1" applyProtection="1">
      <alignment horizontal="left"/>
      <protection locked="0"/>
    </xf>
    <xf numFmtId="0" fontId="37" fillId="47" borderId="0" xfId="90" applyFont="1" applyFill="1" applyAlignment="1" applyProtection="1">
      <alignment horizontal="center" vertical="center"/>
      <protection locked="0"/>
    </xf>
    <xf numFmtId="0" fontId="37" fillId="47" borderId="0" xfId="90" applyFont="1" applyFill="1" applyAlignment="1" applyProtection="1">
      <alignment horizontal="left"/>
      <protection locked="0"/>
    </xf>
    <xf numFmtId="0" fontId="37" fillId="47" borderId="142" xfId="90" applyFont="1" applyFill="1" applyBorder="1" applyAlignment="1" applyProtection="1">
      <alignment horizontal="center" vertical="center"/>
      <protection locked="0"/>
    </xf>
    <xf numFmtId="0" fontId="37" fillId="47" borderId="142" xfId="90" applyFont="1" applyFill="1" applyBorder="1" applyAlignment="1" applyProtection="1">
      <alignment horizontal="left"/>
      <protection locked="0"/>
    </xf>
    <xf numFmtId="0" fontId="280" fillId="53" borderId="0" xfId="0" applyFont="1" applyFill="1" applyAlignment="1" applyProtection="1">
      <alignment horizontal="left" vertical="top"/>
      <protection locked="0"/>
    </xf>
    <xf numFmtId="0" fontId="278"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2"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10" fillId="3" borderId="0" xfId="0" applyFont="1" applyFill="1" applyAlignment="1" applyProtection="1">
      <alignment horizontal="left" vertical="top"/>
      <protection locked="0"/>
    </xf>
    <xf numFmtId="0" fontId="10"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8" fillId="0" borderId="0" xfId="0" applyFont="1" applyAlignment="1" applyProtection="1">
      <alignment horizontal="left" vertical="top"/>
      <protection locked="0"/>
    </xf>
    <xf numFmtId="177" fontId="0" fillId="0" borderId="0" xfId="0" applyNumberFormat="1" applyAlignment="1" applyProtection="1">
      <alignment horizontal="right" vertical="top"/>
      <protection locked="0"/>
    </xf>
    <xf numFmtId="0" fontId="27" fillId="41" borderId="6" xfId="75" applyFont="1" applyFill="1" applyBorder="1" applyProtection="1">
      <protection locked="0"/>
    </xf>
    <xf numFmtId="0" fontId="0" fillId="0" borderId="0" xfId="0" applyAlignment="1" applyProtection="1">
      <alignment horizontal="right"/>
      <protection locked="0"/>
    </xf>
    <xf numFmtId="173" fontId="39" fillId="48" borderId="0" xfId="94" applyProtection="1">
      <alignment vertical="center"/>
      <protection locked="0"/>
    </xf>
    <xf numFmtId="173" fontId="289" fillId="48" borderId="0" xfId="94" applyFont="1" applyProtection="1">
      <alignment vertical="center"/>
      <protection locked="0"/>
    </xf>
    <xf numFmtId="0" fontId="282"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10"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3" fillId="47" borderId="142" xfId="90" applyFont="1" applyFill="1" applyBorder="1" applyAlignment="1" applyProtection="1">
      <alignment horizontal="left"/>
      <protection locked="0"/>
    </xf>
    <xf numFmtId="0" fontId="275" fillId="47" borderId="142" xfId="90" applyFont="1" applyFill="1" applyBorder="1" applyAlignment="1" applyProtection="1">
      <alignment horizontal="left"/>
      <protection locked="0"/>
    </xf>
    <xf numFmtId="0" fontId="32" fillId="0" borderId="0" xfId="90" applyFont="1" applyAlignment="1" applyProtection="1">
      <alignment horizontal="left"/>
      <protection locked="0"/>
    </xf>
    <xf numFmtId="0" fontId="34" fillId="0" borderId="0" xfId="75" applyFont="1" applyProtection="1">
      <protection locked="0"/>
    </xf>
    <xf numFmtId="1" fontId="10" fillId="2" borderId="73" xfId="0" applyNumberFormat="1" applyFont="1" applyFill="1" applyBorder="1" applyAlignment="1" applyProtection="1">
      <alignment horizontal="center" vertical="center"/>
      <protection locked="0"/>
    </xf>
    <xf numFmtId="1" fontId="10" fillId="2" borderId="85" xfId="0" applyNumberFormat="1" applyFont="1" applyFill="1" applyBorder="1" applyAlignment="1" applyProtection="1">
      <alignment horizontal="center" vertical="center" wrapText="1"/>
      <protection locked="0"/>
    </xf>
    <xf numFmtId="1" fontId="10" fillId="2" borderId="73" xfId="0" applyNumberFormat="1" applyFont="1" applyFill="1" applyBorder="1" applyAlignment="1" applyProtection="1">
      <alignment horizontal="center" vertical="center" wrapText="1"/>
      <protection locked="0"/>
    </xf>
    <xf numFmtId="1" fontId="10" fillId="2" borderId="6" xfId="0" applyNumberFormat="1" applyFont="1" applyFill="1" applyBorder="1" applyAlignment="1" applyProtection="1">
      <alignment horizontal="center" vertical="center"/>
      <protection locked="0"/>
    </xf>
    <xf numFmtId="173" fontId="13" fillId="0" borderId="0" xfId="0" applyNumberFormat="1" applyFont="1" applyAlignment="1" applyProtection="1">
      <alignment horizontal="left" vertical="center"/>
      <protection locked="0"/>
    </xf>
    <xf numFmtId="0" fontId="29" fillId="0" borderId="0" xfId="0" applyFont="1" applyProtection="1">
      <protection locked="0"/>
    </xf>
    <xf numFmtId="178" fontId="0" fillId="0" borderId="0" xfId="0" applyNumberFormat="1" applyAlignment="1" applyProtection="1">
      <alignment horizontal="left" vertical="top"/>
      <protection locked="0"/>
    </xf>
    <xf numFmtId="173" fontId="12" fillId="0" borderId="0" xfId="0" applyNumberFormat="1" applyFont="1" applyAlignment="1" applyProtection="1">
      <alignment horizontal="left" vertical="center" indent="1"/>
      <protection locked="0"/>
    </xf>
    <xf numFmtId="0" fontId="13" fillId="0" borderId="0" xfId="85" applyFont="1" applyAlignment="1" applyProtection="1">
      <alignment horizontal="left" vertical="center" wrapText="1"/>
      <protection locked="0"/>
    </xf>
    <xf numFmtId="0" fontId="12" fillId="0" borderId="0" xfId="85" applyFont="1" applyAlignment="1" applyProtection="1">
      <alignment horizontal="left" vertical="center" wrapText="1" indent="1"/>
      <protection locked="0"/>
    </xf>
    <xf numFmtId="177" fontId="12" fillId="3" borderId="62" xfId="2" applyNumberFormat="1" applyFont="1" applyFill="1" applyBorder="1" applyProtection="1">
      <protection locked="0"/>
    </xf>
    <xf numFmtId="0" fontId="12" fillId="42" borderId="0" xfId="75" applyFont="1" applyFill="1" applyAlignment="1" applyProtection="1">
      <alignment horizontal="center" vertical="top"/>
      <protection locked="0"/>
    </xf>
    <xf numFmtId="177" fontId="12" fillId="0" borderId="0" xfId="2" applyNumberFormat="1" applyFont="1" applyFill="1" applyBorder="1" applyProtection="1">
      <protection locked="0"/>
    </xf>
    <xf numFmtId="0" fontId="12" fillId="0" borderId="0" xfId="7" applyFont="1" applyAlignment="1" applyProtection="1">
      <alignment horizontal="left" vertical="center" wrapText="1" indent="1"/>
      <protection locked="0"/>
    </xf>
    <xf numFmtId="177" fontId="12" fillId="0" borderId="0" xfId="1" applyNumberFormat="1" applyFont="1" applyFill="1" applyBorder="1" applyProtection="1">
      <protection locked="0"/>
    </xf>
    <xf numFmtId="177" fontId="12"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2" fillId="42" borderId="0" xfId="0" applyNumberFormat="1" applyFont="1" applyFill="1" applyAlignment="1" applyProtection="1">
      <alignment horizontal="left" vertical="center" indent="1"/>
      <protection locked="0"/>
    </xf>
    <xf numFmtId="177" fontId="13" fillId="42" borderId="28" xfId="1" applyNumberFormat="1" applyFont="1" applyFill="1" applyBorder="1" applyProtection="1">
      <protection locked="0"/>
    </xf>
    <xf numFmtId="177" fontId="13" fillId="42" borderId="28" xfId="2" applyNumberFormat="1" applyFont="1" applyFill="1" applyBorder="1" applyAlignment="1" applyProtection="1">
      <alignment horizontal="right" vertical="center"/>
      <protection locked="0"/>
    </xf>
    <xf numFmtId="173" fontId="13" fillId="0" borderId="0" xfId="0" applyNumberFormat="1" applyFont="1" applyAlignment="1" applyProtection="1">
      <alignment horizontal="left" vertical="center" indent="1"/>
      <protection locked="0"/>
    </xf>
    <xf numFmtId="0" fontId="10" fillId="53" borderId="0" xfId="0" applyFont="1" applyFill="1" applyProtection="1">
      <protection locked="0"/>
    </xf>
    <xf numFmtId="0" fontId="249"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10"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9" fillId="116" borderId="0" xfId="0" applyFont="1" applyFill="1" applyAlignment="1" applyProtection="1">
      <alignment horizontal="left" vertical="top"/>
      <protection locked="0"/>
    </xf>
    <xf numFmtId="0" fontId="249" fillId="0" borderId="0" xfId="0" applyFont="1" applyAlignment="1" applyProtection="1">
      <alignment horizontal="left" vertical="top"/>
      <protection locked="0"/>
    </xf>
    <xf numFmtId="177" fontId="12"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10"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2" fillId="37" borderId="71" xfId="75" applyFont="1" applyFill="1" applyBorder="1" applyAlignment="1">
      <alignment horizontal="center" vertical="top"/>
    </xf>
    <xf numFmtId="0" fontId="12"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3" fillId="52" borderId="71" xfId="2" applyNumberFormat="1" applyFont="1" applyFill="1" applyBorder="1" applyAlignment="1" applyProtection="1">
      <alignment horizontal="right" vertical="center"/>
    </xf>
    <xf numFmtId="177" fontId="13" fillId="52" borderId="73" xfId="2" applyNumberFormat="1" applyFont="1" applyFill="1" applyBorder="1" applyAlignment="1" applyProtection="1">
      <alignment horizontal="right" vertical="center"/>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0" fontId="33" fillId="47" borderId="130" xfId="75" applyFont="1" applyFill="1" applyBorder="1" applyProtection="1">
      <protection locked="0"/>
    </xf>
    <xf numFmtId="0" fontId="276" fillId="47" borderId="142" xfId="90" applyFont="1" applyFill="1" applyBorder="1" applyAlignment="1" applyProtection="1">
      <alignment horizontal="left"/>
      <protection locked="0"/>
    </xf>
    <xf numFmtId="0" fontId="250" fillId="48" borderId="0" xfId="79" applyFont="1" applyFill="1" applyAlignment="1" applyProtection="1">
      <alignment horizontal="left"/>
      <protection locked="0"/>
    </xf>
    <xf numFmtId="173" fontId="39" fillId="0" borderId="0" xfId="0" applyNumberFormat="1" applyFont="1" applyAlignment="1" applyProtection="1">
      <alignment vertical="center"/>
      <protection locked="0"/>
    </xf>
    <xf numFmtId="173" fontId="39" fillId="0" borderId="0" xfId="94" applyFill="1" applyProtection="1">
      <alignment vertical="center"/>
      <protection locked="0"/>
    </xf>
    <xf numFmtId="0" fontId="254" fillId="0" borderId="0" xfId="85" applyFont="1" applyProtection="1">
      <protection locked="0"/>
    </xf>
    <xf numFmtId="0" fontId="13" fillId="0" borderId="0" xfId="85" applyFont="1" applyProtection="1">
      <protection locked="0"/>
    </xf>
    <xf numFmtId="0" fontId="12"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10" fillId="2" borderId="6" xfId="0" applyNumberFormat="1" applyFont="1" applyFill="1" applyBorder="1" applyAlignment="1" applyProtection="1">
      <alignment horizontal="center" vertical="center"/>
      <protection locked="0"/>
    </xf>
    <xf numFmtId="0" fontId="12" fillId="0" borderId="0" xfId="80" applyFont="1" applyAlignment="1" applyProtection="1">
      <alignment horizontal="right" indent="1"/>
      <protection locked="0"/>
    </xf>
    <xf numFmtId="1" fontId="10" fillId="2" borderId="105" xfId="0" applyNumberFormat="1" applyFont="1" applyFill="1" applyBorder="1" applyAlignment="1" applyProtection="1">
      <alignment horizontal="center" vertical="center"/>
      <protection locked="0"/>
    </xf>
    <xf numFmtId="1" fontId="10" fillId="2" borderId="106" xfId="0" applyNumberFormat="1" applyFont="1" applyFill="1" applyBorder="1" applyAlignment="1" applyProtection="1">
      <alignment horizontal="center" vertical="center"/>
      <protection locked="0"/>
    </xf>
    <xf numFmtId="1" fontId="10" fillId="2" borderId="91" xfId="0" applyNumberFormat="1" applyFont="1" applyFill="1" applyBorder="1" applyAlignment="1" applyProtection="1">
      <alignment horizontal="center" vertical="center"/>
      <protection locked="0"/>
    </xf>
    <xf numFmtId="1" fontId="10" fillId="2" borderId="184" xfId="0" applyNumberFormat="1" applyFont="1" applyFill="1" applyBorder="1" applyAlignment="1" applyProtection="1">
      <alignment horizontal="center" vertical="center"/>
      <protection locked="0"/>
    </xf>
    <xf numFmtId="1" fontId="10" fillId="2" borderId="182" xfId="0" applyNumberFormat="1" applyFont="1" applyFill="1" applyBorder="1" applyAlignment="1" applyProtection="1">
      <alignment horizontal="center" vertical="center"/>
      <protection locked="0"/>
    </xf>
    <xf numFmtId="0" fontId="12" fillId="0" borderId="0" xfId="48234" applyFont="1" applyAlignment="1" applyProtection="1">
      <alignment horizontal="center" vertical="center"/>
      <protection locked="0"/>
    </xf>
    <xf numFmtId="0" fontId="12" fillId="0" borderId="185" xfId="48234" applyFont="1" applyBorder="1" applyAlignment="1" applyProtection="1">
      <alignment horizontal="center" vertical="center"/>
      <protection locked="0"/>
    </xf>
    <xf numFmtId="0" fontId="12" fillId="0" borderId="130" xfId="48234" applyFont="1" applyBorder="1" applyAlignment="1" applyProtection="1">
      <alignment horizontal="center" vertical="center"/>
      <protection locked="0"/>
    </xf>
    <xf numFmtId="0" fontId="256" fillId="53" borderId="0" xfId="48236" applyFont="1" applyFill="1" applyAlignment="1" applyProtection="1">
      <alignment horizontal="left"/>
      <protection locked="0"/>
    </xf>
    <xf numFmtId="0" fontId="12" fillId="53" borderId="0" xfId="85" applyFont="1" applyFill="1" applyProtection="1">
      <protection locked="0"/>
    </xf>
    <xf numFmtId="0" fontId="12" fillId="53" borderId="0" xfId="48236" applyFill="1" applyProtection="1">
      <protection locked="0"/>
    </xf>
    <xf numFmtId="0" fontId="12" fillId="53" borderId="185" xfId="85" applyFont="1" applyFill="1" applyBorder="1" applyProtection="1">
      <protection locked="0"/>
    </xf>
    <xf numFmtId="0" fontId="259" fillId="0" borderId="0" xfId="85" applyFont="1" applyAlignment="1" applyProtection="1">
      <alignment horizontal="center"/>
      <protection locked="0"/>
    </xf>
    <xf numFmtId="0" fontId="259" fillId="0" borderId="0" xfId="85" applyFont="1" applyProtection="1">
      <protection locked="0"/>
    </xf>
    <xf numFmtId="0" fontId="260" fillId="0" borderId="0" xfId="85" applyFont="1" applyProtection="1">
      <protection locked="0"/>
    </xf>
    <xf numFmtId="0" fontId="260" fillId="0" borderId="185" xfId="85" applyFont="1" applyBorder="1" applyProtection="1">
      <protection locked="0"/>
    </xf>
    <xf numFmtId="0" fontId="13" fillId="51" borderId="0" xfId="85" applyFont="1" applyFill="1" applyProtection="1">
      <protection locked="0"/>
    </xf>
    <xf numFmtId="0" fontId="12" fillId="51" borderId="0" xfId="85" applyFont="1" applyFill="1" applyProtection="1">
      <protection locked="0"/>
    </xf>
    <xf numFmtId="0" fontId="12" fillId="0" borderId="6" xfId="85" applyFont="1" applyBorder="1" applyProtection="1">
      <protection locked="0"/>
    </xf>
    <xf numFmtId="0" fontId="12" fillId="0" borderId="0" xfId="85" applyFont="1" applyAlignment="1" applyProtection="1">
      <alignment horizontal="left" indent="1"/>
      <protection locked="0"/>
    </xf>
    <xf numFmtId="0" fontId="12" fillId="51" borderId="0" xfId="85" applyFont="1" applyFill="1" applyAlignment="1" applyProtection="1">
      <alignment horizontal="left" indent="1"/>
      <protection locked="0"/>
    </xf>
    <xf numFmtId="0" fontId="257" fillId="0" borderId="0" xfId="85" applyFont="1" applyProtection="1">
      <protection locked="0"/>
    </xf>
    <xf numFmtId="177" fontId="9" fillId="3" borderId="71" xfId="51696" applyNumberFormat="1" applyFill="1" applyBorder="1" applyProtection="1">
      <alignment vertical="center"/>
      <protection locked="0"/>
    </xf>
    <xf numFmtId="177" fontId="9" fillId="3" borderId="72" xfId="51696" applyNumberFormat="1" applyFill="1" applyBorder="1" applyProtection="1">
      <alignment vertical="center"/>
      <protection locked="0"/>
    </xf>
    <xf numFmtId="177" fontId="9" fillId="3" borderId="65" xfId="51696" applyNumberFormat="1" applyFill="1" applyBorder="1" applyProtection="1">
      <alignment vertical="center"/>
      <protection locked="0"/>
    </xf>
    <xf numFmtId="177" fontId="9" fillId="3" borderId="66" xfId="51696" applyNumberFormat="1" applyFill="1" applyBorder="1" applyProtection="1">
      <alignment vertical="center"/>
      <protection locked="0"/>
    </xf>
    <xf numFmtId="0" fontId="13" fillId="0" borderId="0" xfId="85" applyFont="1" applyAlignment="1" applyProtection="1">
      <alignment horizontal="center"/>
      <protection locked="0"/>
    </xf>
    <xf numFmtId="0" fontId="12" fillId="0" borderId="0" xfId="85" applyFont="1" applyAlignment="1" applyProtection="1">
      <alignment horizontal="center"/>
      <protection locked="0"/>
    </xf>
    <xf numFmtId="0" fontId="12" fillId="0" borderId="185" xfId="85" applyFont="1" applyBorder="1" applyProtection="1">
      <protection locked="0"/>
    </xf>
    <xf numFmtId="0" fontId="256" fillId="0" borderId="0" xfId="48236" applyFont="1" applyAlignment="1" applyProtection="1">
      <alignment horizontal="left"/>
      <protection locked="0"/>
    </xf>
    <xf numFmtId="0" fontId="12" fillId="0" borderId="0" xfId="48236" applyProtection="1">
      <protection locked="0"/>
    </xf>
    <xf numFmtId="0" fontId="257" fillId="0" borderId="0" xfId="48236" applyFont="1" applyProtection="1">
      <protection locked="0"/>
    </xf>
    <xf numFmtId="0" fontId="12" fillId="0" borderId="59" xfId="85" applyFont="1" applyBorder="1" applyAlignment="1" applyProtection="1">
      <alignment horizontal="center"/>
      <protection locked="0"/>
    </xf>
    <xf numFmtId="0" fontId="12" fillId="0" borderId="60" xfId="85" applyFont="1" applyBorder="1" applyAlignment="1" applyProtection="1">
      <alignment horizontal="center"/>
      <protection locked="0"/>
    </xf>
    <xf numFmtId="0" fontId="12" fillId="0" borderId="96" xfId="85" applyFont="1" applyBorder="1" applyAlignment="1" applyProtection="1">
      <alignment horizontal="center"/>
      <protection locked="0"/>
    </xf>
    <xf numFmtId="0" fontId="12" fillId="0" borderId="188" xfId="85" applyFont="1" applyBorder="1" applyAlignment="1" applyProtection="1">
      <alignment horizontal="center"/>
      <protection locked="0"/>
    </xf>
    <xf numFmtId="0" fontId="12" fillId="0" borderId="85" xfId="85" applyFont="1" applyBorder="1" applyAlignment="1" applyProtection="1">
      <alignment horizontal="center"/>
      <protection locked="0"/>
    </xf>
    <xf numFmtId="0" fontId="12" fillId="0" borderId="107" xfId="48236" applyBorder="1" applyAlignment="1" applyProtection="1">
      <alignment horizontal="left"/>
      <protection locked="0"/>
    </xf>
    <xf numFmtId="0" fontId="12" fillId="0" borderId="107" xfId="85" applyFont="1" applyBorder="1" applyProtection="1">
      <protection locked="0"/>
    </xf>
    <xf numFmtId="0" fontId="12" fillId="0" borderId="107" xfId="48236" applyBorder="1" applyProtection="1">
      <protection locked="0"/>
    </xf>
    <xf numFmtId="0" fontId="12" fillId="51" borderId="107" xfId="85" applyFont="1" applyFill="1" applyBorder="1" applyProtection="1">
      <protection locked="0"/>
    </xf>
    <xf numFmtId="0" fontId="12" fillId="51" borderId="107" xfId="48236" applyFill="1" applyBorder="1" applyProtection="1">
      <protection locked="0"/>
    </xf>
    <xf numFmtId="172" fontId="12" fillId="44" borderId="6" xfId="85" applyNumberFormat="1" applyFont="1" applyFill="1" applyBorder="1" applyProtection="1">
      <protection locked="0"/>
    </xf>
    <xf numFmtId="0" fontId="12" fillId="51" borderId="107" xfId="48236" applyFill="1" applyBorder="1" applyAlignment="1" applyProtection="1">
      <alignment horizontal="left"/>
      <protection locked="0"/>
    </xf>
    <xf numFmtId="0" fontId="12" fillId="3" borderId="107" xfId="48236" applyFill="1" applyBorder="1" applyAlignment="1" applyProtection="1">
      <alignment horizontal="left"/>
      <protection locked="0"/>
    </xf>
    <xf numFmtId="0" fontId="12" fillId="3" borderId="107" xfId="85" applyFont="1" applyFill="1" applyBorder="1" applyProtection="1">
      <protection locked="0"/>
    </xf>
    <xf numFmtId="0" fontId="12" fillId="0" borderId="107" xfId="84" applyFont="1" applyBorder="1" applyAlignment="1" applyProtection="1">
      <alignment wrapText="1"/>
      <protection locked="0"/>
    </xf>
    <xf numFmtId="0" fontId="13" fillId="0" borderId="107" xfId="48236" applyFont="1" applyBorder="1" applyAlignment="1" applyProtection="1">
      <alignment horizontal="left"/>
      <protection locked="0"/>
    </xf>
    <xf numFmtId="172" fontId="9" fillId="43" borderId="6" xfId="51696" applyProtection="1">
      <alignment vertical="center"/>
      <protection locked="0"/>
    </xf>
    <xf numFmtId="0" fontId="12" fillId="0" borderId="107" xfId="84" applyFont="1" applyBorder="1" applyAlignment="1" applyProtection="1">
      <alignment horizontal="left" wrapText="1"/>
      <protection locked="0"/>
    </xf>
    <xf numFmtId="0" fontId="12" fillId="0" borderId="108" xfId="48236" applyBorder="1" applyAlignment="1" applyProtection="1">
      <alignment horizontal="center"/>
      <protection locked="0"/>
    </xf>
    <xf numFmtId="0" fontId="12" fillId="0" borderId="108" xfId="85" applyFont="1" applyBorder="1" applyProtection="1">
      <protection locked="0"/>
    </xf>
    <xf numFmtId="0" fontId="12" fillId="0" borderId="108" xfId="48236" applyBorder="1" applyProtection="1">
      <protection locked="0"/>
    </xf>
    <xf numFmtId="176" fontId="12" fillId="0" borderId="0" xfId="48236" applyNumberFormat="1" applyProtection="1">
      <protection locked="0"/>
    </xf>
    <xf numFmtId="176" fontId="12" fillId="0" borderId="185" xfId="48236" applyNumberFormat="1" applyBorder="1" applyProtection="1">
      <protection locked="0"/>
    </xf>
    <xf numFmtId="0" fontId="13" fillId="0" borderId="109" xfId="48236" applyFont="1" applyBorder="1" applyAlignment="1" applyProtection="1">
      <alignment horizontal="left"/>
      <protection locked="0"/>
    </xf>
    <xf numFmtId="0" fontId="12" fillId="0" borderId="109" xfId="85" applyFont="1" applyBorder="1" applyProtection="1">
      <protection locked="0"/>
    </xf>
    <xf numFmtId="0" fontId="12" fillId="0" borderId="109" xfId="48236" applyBorder="1" applyProtection="1">
      <protection locked="0"/>
    </xf>
    <xf numFmtId="172" fontId="12" fillId="44" borderId="135" xfId="85" applyNumberFormat="1" applyFont="1" applyFill="1" applyBorder="1" applyProtection="1">
      <protection locked="0"/>
    </xf>
    <xf numFmtId="0" fontId="12" fillId="0" borderId="108" xfId="48236" applyBorder="1" applyAlignment="1" applyProtection="1">
      <alignment horizontal="left"/>
      <protection locked="0"/>
    </xf>
    <xf numFmtId="0" fontId="13" fillId="0" borderId="109" xfId="85" applyFont="1" applyBorder="1" applyAlignment="1" applyProtection="1">
      <alignment vertical="center"/>
      <protection locked="0"/>
    </xf>
    <xf numFmtId="0" fontId="9" fillId="0" borderId="109" xfId="0" applyFont="1" applyBorder="1" applyProtection="1">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12" fillId="0" borderId="0" xfId="85" applyFont="1" applyAlignment="1" applyProtection="1">
      <alignment horizontal="left"/>
      <protection locked="0"/>
    </xf>
    <xf numFmtId="0" fontId="13" fillId="0" borderId="109" xfId="85" applyFont="1" applyBorder="1" applyProtection="1">
      <protection locked="0"/>
    </xf>
    <xf numFmtId="0" fontId="12" fillId="3" borderId="0" xfId="85" applyFont="1" applyFill="1" applyAlignment="1" applyProtection="1">
      <alignment horizontal="left" vertical="center"/>
      <protection locked="0"/>
    </xf>
    <xf numFmtId="0" fontId="13" fillId="0" borderId="107" xfId="85" applyFont="1" applyBorder="1" applyAlignment="1" applyProtection="1">
      <alignment horizontal="left" vertical="center"/>
      <protection locked="0"/>
    </xf>
    <xf numFmtId="0" fontId="13" fillId="0" borderId="107" xfId="85" applyFont="1" applyBorder="1" applyAlignment="1" applyProtection="1">
      <alignment horizontal="left" vertical="center" wrapText="1"/>
      <protection locked="0"/>
    </xf>
    <xf numFmtId="0" fontId="258" fillId="0" borderId="108" xfId="48237" applyFont="1" applyBorder="1" applyProtection="1">
      <protection locked="0"/>
    </xf>
    <xf numFmtId="0" fontId="9" fillId="0" borderId="108" xfId="0" applyFont="1" applyBorder="1" applyProtection="1">
      <protection locked="0"/>
    </xf>
    <xf numFmtId="0" fontId="12" fillId="0" borderId="0" xfId="85" applyFont="1" applyAlignment="1" applyProtection="1">
      <alignment horizontal="left" vertical="center"/>
      <protection locked="0"/>
    </xf>
    <xf numFmtId="0" fontId="10" fillId="42" borderId="0" xfId="0" applyFont="1" applyFill="1" applyAlignment="1" applyProtection="1">
      <alignment horizontal="left" indent="1"/>
      <protection locked="0"/>
    </xf>
    <xf numFmtId="0" fontId="12" fillId="42" borderId="0" xfId="85" applyFont="1" applyFill="1" applyProtection="1">
      <protection locked="0"/>
    </xf>
    <xf numFmtId="177" fontId="9" fillId="42" borderId="0" xfId="51696" applyNumberFormat="1" applyFill="1" applyBorder="1" applyProtection="1">
      <alignment vertical="center"/>
      <protection locked="0"/>
    </xf>
    <xf numFmtId="177" fontId="9" fillId="42" borderId="185" xfId="51696" applyNumberFormat="1" applyFill="1" applyBorder="1" applyProtection="1">
      <alignment vertical="center"/>
      <protection locked="0"/>
    </xf>
    <xf numFmtId="10" fontId="9" fillId="3" borderId="59" xfId="51697" applyNumberFormat="1" applyBorder="1">
      <alignment vertical="center"/>
      <protection locked="0"/>
    </xf>
    <xf numFmtId="10" fontId="9" fillId="3" borderId="60" xfId="51697" applyNumberFormat="1" applyBorder="1">
      <alignment vertical="center"/>
      <protection locked="0"/>
    </xf>
    <xf numFmtId="10" fontId="9" fillId="3" borderId="96" xfId="51697" applyNumberFormat="1" applyBorder="1">
      <alignment vertical="center"/>
      <protection locked="0"/>
    </xf>
    <xf numFmtId="10" fontId="9" fillId="3" borderId="188" xfId="51697" applyNumberFormat="1" applyBorder="1">
      <alignment vertical="center"/>
      <protection locked="0"/>
    </xf>
    <xf numFmtId="10" fontId="9" fillId="3" borderId="85" xfId="51697" applyNumberFormat="1" applyBorder="1">
      <alignment vertical="center"/>
      <protection locked="0"/>
    </xf>
    <xf numFmtId="0" fontId="12" fillId="3" borderId="107" xfId="84" applyFont="1" applyFill="1" applyBorder="1" applyAlignment="1" applyProtection="1">
      <alignment wrapText="1"/>
      <protection locked="0"/>
    </xf>
    <xf numFmtId="174" fontId="12" fillId="0" borderId="0" xfId="85" applyNumberFormat="1" applyFont="1" applyProtection="1">
      <protection locked="0"/>
    </xf>
    <xf numFmtId="174" fontId="12" fillId="0" borderId="185" xfId="85" applyNumberFormat="1" applyFont="1" applyBorder="1" applyProtection="1">
      <protection locked="0"/>
    </xf>
    <xf numFmtId="174" fontId="12" fillId="0" borderId="0" xfId="48236" applyNumberFormat="1" applyProtection="1">
      <protection locked="0"/>
    </xf>
    <xf numFmtId="174" fontId="12" fillId="0" borderId="185" xfId="48236" applyNumberFormat="1" applyBorder="1" applyProtection="1">
      <protection locked="0"/>
    </xf>
    <xf numFmtId="0" fontId="12" fillId="0" borderId="108" xfId="85" applyFont="1" applyBorder="1" applyAlignment="1" applyProtection="1">
      <alignment horizontal="left" vertical="center"/>
      <protection locked="0"/>
    </xf>
    <xf numFmtId="0" fontId="12" fillId="0" borderId="111" xfId="85" applyFont="1" applyBorder="1" applyProtection="1">
      <protection locked="0"/>
    </xf>
    <xf numFmtId="0" fontId="13" fillId="0" borderId="0" xfId="85" applyFont="1" applyAlignment="1" applyProtection="1">
      <alignment horizontal="left" indent="1"/>
      <protection locked="0"/>
    </xf>
    <xf numFmtId="173" fontId="38" fillId="0" borderId="0" xfId="0" applyNumberFormat="1" applyFont="1" applyAlignment="1" applyProtection="1">
      <alignment vertical="center"/>
      <protection locked="0"/>
    </xf>
    <xf numFmtId="173" fontId="40" fillId="49" borderId="0" xfId="96" applyAlignment="1" applyProtection="1">
      <alignment vertical="center"/>
      <protection locked="0"/>
    </xf>
    <xf numFmtId="173" fontId="40" fillId="49" borderId="185" xfId="96" applyBorder="1" applyAlignment="1" applyProtection="1">
      <alignment vertical="center"/>
      <protection locked="0"/>
    </xf>
    <xf numFmtId="173" fontId="40" fillId="0" borderId="0" xfId="96" applyFill="1" applyAlignment="1" applyProtection="1">
      <alignment vertical="center"/>
      <protection locked="0"/>
    </xf>
    <xf numFmtId="173" fontId="40" fillId="42" borderId="0" xfId="96" applyFill="1" applyAlignment="1" applyProtection="1">
      <alignment vertical="center"/>
      <protection locked="0"/>
    </xf>
    <xf numFmtId="173" fontId="38" fillId="42" borderId="0" xfId="0" applyNumberFormat="1" applyFont="1" applyFill="1" applyAlignment="1" applyProtection="1">
      <alignment vertical="center"/>
      <protection locked="0"/>
    </xf>
    <xf numFmtId="177" fontId="9" fillId="43" borderId="71" xfId="51696" applyNumberFormat="1" applyBorder="1">
      <alignment vertical="center"/>
    </xf>
    <xf numFmtId="177" fontId="9" fillId="43" borderId="72" xfId="51696" applyNumberFormat="1" applyBorder="1">
      <alignment vertical="center"/>
    </xf>
    <xf numFmtId="177" fontId="9" fillId="43" borderId="104" xfId="51696" applyNumberFormat="1" applyBorder="1">
      <alignment vertical="center"/>
    </xf>
    <xf numFmtId="177" fontId="9" fillId="43" borderId="186" xfId="51696" applyNumberFormat="1" applyBorder="1">
      <alignment vertical="center"/>
    </xf>
    <xf numFmtId="177" fontId="9" fillId="43" borderId="164" xfId="51696" applyNumberFormat="1" applyBorder="1">
      <alignment vertical="center"/>
    </xf>
    <xf numFmtId="177" fontId="9" fillId="43" borderId="65" xfId="51696" applyNumberFormat="1" applyBorder="1">
      <alignment vertical="center"/>
    </xf>
    <xf numFmtId="177" fontId="9" fillId="43" borderId="66" xfId="51696" applyNumberFormat="1" applyBorder="1">
      <alignment vertical="center"/>
    </xf>
    <xf numFmtId="177" fontId="9" fillId="43" borderId="92" xfId="51696" applyNumberFormat="1" applyBorder="1">
      <alignment vertical="center"/>
    </xf>
    <xf numFmtId="177" fontId="9" fillId="43" borderId="187" xfId="51696" applyNumberFormat="1" applyBorder="1">
      <alignment vertical="center"/>
    </xf>
    <xf numFmtId="177" fontId="9" fillId="43" borderId="86" xfId="51696" applyNumberFormat="1" applyBorder="1">
      <alignment vertical="center"/>
    </xf>
    <xf numFmtId="0" fontId="12" fillId="52" borderId="0" xfId="85" applyFont="1" applyFill="1"/>
    <xf numFmtId="0" fontId="12" fillId="52" borderId="185" xfId="85" applyFont="1" applyFill="1" applyBorder="1"/>
    <xf numFmtId="177" fontId="12" fillId="51" borderId="62" xfId="85" applyNumberFormat="1" applyFont="1" applyFill="1" applyBorder="1"/>
    <xf numFmtId="177" fontId="12" fillId="51" borderId="63" xfId="85" applyNumberFormat="1" applyFont="1" applyFill="1" applyBorder="1"/>
    <xf numFmtId="177" fontId="12" fillId="51" borderId="94" xfId="85" applyNumberFormat="1" applyFont="1" applyFill="1" applyBorder="1"/>
    <xf numFmtId="177" fontId="12" fillId="51" borderId="189" xfId="85" applyNumberFormat="1" applyFont="1" applyFill="1" applyBorder="1"/>
    <xf numFmtId="177" fontId="12" fillId="51" borderId="81" xfId="85" applyNumberFormat="1" applyFont="1" applyFill="1" applyBorder="1"/>
    <xf numFmtId="177" fontId="12" fillId="51" borderId="101" xfId="85" applyNumberFormat="1" applyFont="1" applyFill="1" applyBorder="1"/>
    <xf numFmtId="177" fontId="12" fillId="51" borderId="190" xfId="85" applyNumberFormat="1" applyFont="1" applyFill="1" applyBorder="1"/>
    <xf numFmtId="177" fontId="12" fillId="52" borderId="62" xfId="85" applyNumberFormat="1" applyFont="1" applyFill="1" applyBorder="1"/>
    <xf numFmtId="177" fontId="12" fillId="52" borderId="100" xfId="85" applyNumberFormat="1" applyFont="1" applyFill="1" applyBorder="1"/>
    <xf numFmtId="177" fontId="12" fillId="52" borderId="191" xfId="85" applyNumberFormat="1" applyFont="1" applyFill="1" applyBorder="1"/>
    <xf numFmtId="177" fontId="12" fillId="52" borderId="81" xfId="85" applyNumberFormat="1" applyFont="1" applyFill="1" applyBorder="1"/>
    <xf numFmtId="177" fontId="9" fillId="43" borderId="59" xfId="51696" applyNumberFormat="1" applyBorder="1">
      <alignment vertical="center"/>
    </xf>
    <xf numFmtId="177" fontId="9" fillId="43" borderId="60" xfId="51696" applyNumberFormat="1" applyBorder="1">
      <alignment vertical="center"/>
    </xf>
    <xf numFmtId="177" fontId="9" fillId="43" borderId="96" xfId="51696" applyNumberFormat="1" applyBorder="1">
      <alignment vertical="center"/>
    </xf>
    <xf numFmtId="177" fontId="9" fillId="43" borderId="188" xfId="51696" applyNumberFormat="1" applyBorder="1">
      <alignment vertical="center"/>
    </xf>
    <xf numFmtId="177" fontId="9" fillId="43" borderId="85" xfId="51696" applyNumberFormat="1" applyBorder="1">
      <alignment vertical="center"/>
    </xf>
    <xf numFmtId="177" fontId="12" fillId="51" borderId="68" xfId="85" applyNumberFormat="1" applyFont="1" applyFill="1" applyBorder="1"/>
    <xf numFmtId="177" fontId="12" fillId="51" borderId="69" xfId="85" applyNumberFormat="1" applyFont="1" applyFill="1" applyBorder="1"/>
    <xf numFmtId="177" fontId="12" fillId="51" borderId="110" xfId="85" applyNumberFormat="1" applyFont="1" applyFill="1" applyBorder="1"/>
    <xf numFmtId="177" fontId="12" fillId="51" borderId="193" xfId="85" applyNumberFormat="1" applyFont="1" applyFill="1" applyBorder="1"/>
    <xf numFmtId="177" fontId="12" fillId="51" borderId="82" xfId="85" applyNumberFormat="1" applyFont="1" applyFill="1" applyBorder="1"/>
    <xf numFmtId="177" fontId="12" fillId="51" borderId="59" xfId="85" applyNumberFormat="1" applyFont="1" applyFill="1" applyBorder="1"/>
    <xf numFmtId="177" fontId="12" fillId="51" borderId="60" xfId="85" applyNumberFormat="1" applyFont="1" applyFill="1" applyBorder="1"/>
    <xf numFmtId="177" fontId="12" fillId="51" borderId="96" xfId="85" applyNumberFormat="1" applyFont="1" applyFill="1" applyBorder="1"/>
    <xf numFmtId="177" fontId="12" fillId="51" borderId="188" xfId="85" applyNumberFormat="1" applyFont="1" applyFill="1" applyBorder="1"/>
    <xf numFmtId="177" fontId="12" fillId="51" borderId="85" xfId="85" applyNumberFormat="1" applyFont="1" applyFill="1" applyBorder="1"/>
    <xf numFmtId="177" fontId="9" fillId="51" borderId="71" xfId="51696" applyNumberFormat="1" applyFill="1" applyBorder="1">
      <alignment vertical="center"/>
    </xf>
    <xf numFmtId="177" fontId="9" fillId="51" borderId="135" xfId="51696" applyNumberFormat="1" applyFill="1" applyBorder="1">
      <alignment vertical="center"/>
    </xf>
    <xf numFmtId="177" fontId="9" fillId="51" borderId="194" xfId="51696" applyNumberFormat="1" applyFill="1" applyBorder="1">
      <alignment vertical="center"/>
    </xf>
    <xf numFmtId="177" fontId="9" fillId="51" borderId="164" xfId="51696" applyNumberFormat="1" applyFill="1" applyBorder="1">
      <alignment vertical="center"/>
    </xf>
    <xf numFmtId="177" fontId="9" fillId="43" borderId="135" xfId="51696" applyNumberFormat="1" applyBorder="1">
      <alignment vertical="center"/>
    </xf>
    <xf numFmtId="177" fontId="9" fillId="43" borderId="194" xfId="51696" applyNumberFormat="1" applyBorder="1">
      <alignment vertical="center"/>
    </xf>
    <xf numFmtId="177" fontId="12" fillId="44" borderId="59" xfId="85" applyNumberFormat="1" applyFont="1" applyFill="1" applyBorder="1"/>
    <xf numFmtId="177" fontId="12" fillId="44" borderId="60" xfId="85" applyNumberFormat="1" applyFont="1" applyFill="1" applyBorder="1"/>
    <xf numFmtId="177" fontId="12" fillId="44" borderId="96" xfId="85" applyNumberFormat="1" applyFont="1" applyFill="1" applyBorder="1"/>
    <xf numFmtId="177" fontId="12" fillId="44" borderId="188" xfId="85" applyNumberFormat="1" applyFont="1" applyFill="1" applyBorder="1"/>
    <xf numFmtId="177" fontId="12" fillId="44" borderId="85" xfId="85" applyNumberFormat="1" applyFont="1" applyFill="1" applyBorder="1"/>
    <xf numFmtId="177" fontId="12" fillId="51" borderId="65" xfId="85" applyNumberFormat="1" applyFont="1" applyFill="1" applyBorder="1"/>
    <xf numFmtId="177" fontId="12" fillId="51" borderId="66" xfId="85" applyNumberFormat="1" applyFont="1" applyFill="1" applyBorder="1"/>
    <xf numFmtId="177" fontId="12" fillId="51" borderId="92" xfId="85" applyNumberFormat="1" applyFont="1" applyFill="1" applyBorder="1"/>
    <xf numFmtId="177" fontId="12" fillId="51" borderId="187" xfId="85" applyNumberFormat="1" applyFont="1" applyFill="1" applyBorder="1"/>
    <xf numFmtId="177" fontId="12" fillId="51" borderId="86" xfId="85" applyNumberFormat="1" applyFont="1" applyFill="1" applyBorder="1"/>
    <xf numFmtId="177" fontId="9" fillId="51" borderId="59" xfId="51696" applyNumberFormat="1" applyFill="1" applyBorder="1">
      <alignment vertical="center"/>
    </xf>
    <xf numFmtId="177" fontId="9" fillId="51" borderId="102" xfId="51696" applyNumberFormat="1" applyFill="1" applyBorder="1">
      <alignment vertical="center"/>
    </xf>
    <xf numFmtId="177" fontId="9" fillId="51" borderId="195" xfId="51696" applyNumberFormat="1" applyFill="1" applyBorder="1">
      <alignment vertical="center"/>
    </xf>
    <xf numFmtId="177" fontId="9" fillId="51" borderId="85" xfId="51696" applyNumberFormat="1" applyFill="1" applyBorder="1">
      <alignment vertical="center"/>
    </xf>
    <xf numFmtId="177" fontId="9" fillId="51" borderId="74" xfId="51696" applyNumberFormat="1" applyFill="1" applyBorder="1">
      <alignment vertical="center"/>
    </xf>
    <xf numFmtId="177" fontId="9" fillId="51" borderId="168" xfId="51696" applyNumberFormat="1" applyFill="1" applyBorder="1">
      <alignment vertical="center"/>
    </xf>
    <xf numFmtId="177" fontId="9" fillId="51" borderId="0" xfId="51696" applyNumberFormat="1" applyFill="1" applyBorder="1">
      <alignment vertical="center"/>
    </xf>
    <xf numFmtId="177" fontId="9" fillId="51" borderId="185" xfId="51696" applyNumberFormat="1" applyFill="1" applyBorder="1">
      <alignment vertical="center"/>
    </xf>
    <xf numFmtId="177" fontId="9" fillId="51" borderId="60" xfId="51696" applyNumberFormat="1" applyFill="1" applyBorder="1">
      <alignment vertical="center"/>
    </xf>
    <xf numFmtId="177" fontId="9" fillId="51" borderId="96" xfId="51696" applyNumberFormat="1" applyFill="1" applyBorder="1">
      <alignment vertical="center"/>
    </xf>
    <xf numFmtId="177" fontId="9" fillId="51" borderId="188" xfId="51696" applyNumberFormat="1" applyFill="1" applyBorder="1">
      <alignment vertical="center"/>
    </xf>
    <xf numFmtId="177" fontId="9" fillId="51" borderId="72" xfId="51696" applyNumberFormat="1" applyFill="1" applyBorder="1">
      <alignment vertical="center"/>
    </xf>
    <xf numFmtId="177" fontId="9" fillId="51" borderId="104" xfId="51696" applyNumberFormat="1" applyFill="1" applyBorder="1">
      <alignment vertical="center"/>
    </xf>
    <xf numFmtId="177" fontId="9" fillId="51" borderId="186" xfId="51696" applyNumberFormat="1" applyFill="1" applyBorder="1">
      <alignment vertical="center"/>
    </xf>
    <xf numFmtId="177" fontId="9" fillId="43" borderId="62" xfId="51696" applyNumberFormat="1" applyBorder="1">
      <alignment vertical="center"/>
    </xf>
    <xf numFmtId="177" fontId="9" fillId="43" borderId="100" xfId="51696" applyNumberFormat="1" applyBorder="1">
      <alignment vertical="center"/>
    </xf>
    <xf numFmtId="177" fontId="9" fillId="43" borderId="191" xfId="51696" applyNumberFormat="1" applyBorder="1">
      <alignment vertical="center"/>
    </xf>
    <xf numFmtId="177" fontId="9" fillId="43" borderId="81" xfId="51696" applyNumberFormat="1" applyBorder="1">
      <alignment vertical="center"/>
    </xf>
    <xf numFmtId="177" fontId="10" fillId="43" borderId="62" xfId="51696" applyNumberFormat="1" applyFont="1" applyBorder="1">
      <alignment vertical="center"/>
    </xf>
    <xf numFmtId="177" fontId="10" fillId="43" borderId="100" xfId="51696" applyNumberFormat="1" applyFont="1" applyBorder="1">
      <alignment vertical="center"/>
    </xf>
    <xf numFmtId="177" fontId="10" fillId="43" borderId="191" xfId="51696" applyNumberFormat="1" applyFont="1" applyBorder="1">
      <alignment vertical="center"/>
    </xf>
    <xf numFmtId="177" fontId="10" fillId="43" borderId="81" xfId="51696" applyNumberFormat="1" applyFont="1" applyBorder="1">
      <alignment vertical="center"/>
    </xf>
    <xf numFmtId="177" fontId="12" fillId="3" borderId="6" xfId="2" applyNumberFormat="1" applyFont="1" applyFill="1" applyBorder="1" applyProtection="1">
      <protection locked="0"/>
    </xf>
    <xf numFmtId="0" fontId="31"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2" fillId="3" borderId="59" xfId="1" applyNumberFormat="1" applyFont="1" applyFill="1" applyBorder="1" applyProtection="1">
      <protection locked="0"/>
    </xf>
    <xf numFmtId="0" fontId="12" fillId="0" borderId="0" xfId="85" applyFont="1" applyAlignment="1" applyProtection="1">
      <alignment horizontal="left" vertical="center" wrapText="1"/>
      <protection locked="0"/>
    </xf>
    <xf numFmtId="0" fontId="12" fillId="0" borderId="0" xfId="75" applyFont="1" applyAlignment="1" applyProtection="1">
      <alignment horizontal="center" vertical="top"/>
      <protection locked="0"/>
    </xf>
    <xf numFmtId="177" fontId="10" fillId="51" borderId="71" xfId="1" applyNumberFormat="1" applyFont="1" applyFill="1" applyBorder="1" applyAlignment="1" applyProtection="1">
      <alignment horizontal="right"/>
    </xf>
    <xf numFmtId="177" fontId="12" fillId="51" borderId="59" xfId="1" applyNumberFormat="1" applyFont="1" applyFill="1" applyBorder="1" applyProtection="1"/>
    <xf numFmtId="177" fontId="12" fillId="51" borderId="62" xfId="1" applyNumberFormat="1" applyFont="1" applyFill="1" applyBorder="1" applyProtection="1"/>
    <xf numFmtId="177" fontId="10"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2" fillId="38" borderId="106" xfId="1" applyNumberFormat="1" applyFont="1" applyFill="1" applyBorder="1" applyProtection="1"/>
    <xf numFmtId="177" fontId="12"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2" fillId="52" borderId="65" xfId="75" applyNumberFormat="1" applyFont="1" applyFill="1" applyBorder="1" applyAlignment="1">
      <alignment vertical="top"/>
    </xf>
    <xf numFmtId="9" fontId="12"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9" fillId="43" borderId="114" xfId="51696" applyNumberFormat="1" applyBorder="1">
      <alignment vertical="center"/>
    </xf>
    <xf numFmtId="177" fontId="9" fillId="43" borderId="68" xfId="51696" applyNumberFormat="1" applyBorder="1">
      <alignment vertical="center"/>
    </xf>
    <xf numFmtId="177" fontId="9" fillId="43" borderId="69" xfId="51696" applyNumberFormat="1" applyBorder="1">
      <alignment vertical="center"/>
    </xf>
    <xf numFmtId="177" fontId="9" fillId="43" borderId="110" xfId="51696" applyNumberFormat="1" applyBorder="1">
      <alignment vertical="center"/>
    </xf>
    <xf numFmtId="177" fontId="9" fillId="43" borderId="117" xfId="51696" applyNumberFormat="1" applyBorder="1">
      <alignment vertical="center"/>
    </xf>
    <xf numFmtId="177" fontId="9" fillId="43" borderId="169" xfId="51696" applyNumberFormat="1" applyBorder="1">
      <alignment vertical="center"/>
    </xf>
    <xf numFmtId="177" fontId="9" fillId="43" borderId="170" xfId="51696" applyNumberFormat="1" applyBorder="1">
      <alignment vertical="center"/>
    </xf>
    <xf numFmtId="177" fontId="9" fillId="43" borderId="171" xfId="51696" applyNumberFormat="1" applyBorder="1">
      <alignment vertical="center"/>
    </xf>
    <xf numFmtId="177" fontId="9" fillId="43" borderId="172" xfId="51696" applyNumberFormat="1" applyBorder="1">
      <alignment vertical="center"/>
    </xf>
    <xf numFmtId="177" fontId="9" fillId="43" borderId="132" xfId="51696" applyNumberFormat="1" applyBorder="1">
      <alignment vertical="center"/>
    </xf>
    <xf numFmtId="177" fontId="9" fillId="43" borderId="133" xfId="51696" applyNumberFormat="1" applyBorder="1">
      <alignment vertical="center"/>
    </xf>
    <xf numFmtId="177" fontId="9" fillId="43" borderId="173" xfId="51696" applyNumberFormat="1" applyBorder="1">
      <alignment vertical="center"/>
    </xf>
    <xf numFmtId="177" fontId="9" fillId="43" borderId="174" xfId="51696" applyNumberFormat="1" applyBorder="1">
      <alignment vertical="center"/>
    </xf>
    <xf numFmtId="177" fontId="9" fillId="43" borderId="105" xfId="51696" applyNumberFormat="1" applyBorder="1">
      <alignment vertical="center"/>
    </xf>
    <xf numFmtId="177" fontId="9" fillId="43" borderId="106" xfId="51696" applyNumberFormat="1" applyBorder="1">
      <alignment vertical="center"/>
    </xf>
    <xf numFmtId="177" fontId="9" fillId="43" borderId="91" xfId="51696" applyNumberFormat="1" applyBorder="1">
      <alignment vertical="center"/>
    </xf>
    <xf numFmtId="177" fontId="9" fillId="43" borderId="115" xfId="51696" applyNumberFormat="1" applyBorder="1">
      <alignment vertical="center"/>
    </xf>
    <xf numFmtId="0" fontId="12" fillId="0" borderId="0" xfId="85" applyFont="1"/>
    <xf numFmtId="0" fontId="12" fillId="0" borderId="175" xfId="85" applyFont="1" applyBorder="1"/>
    <xf numFmtId="177" fontId="9" fillId="43" borderId="116" xfId="51696" applyNumberFormat="1" applyBorder="1">
      <alignment vertical="center"/>
    </xf>
    <xf numFmtId="177" fontId="9" fillId="43" borderId="63" xfId="51696" applyNumberFormat="1" applyBorder="1">
      <alignment vertical="center"/>
    </xf>
    <xf numFmtId="177" fontId="9" fillId="43" borderId="94" xfId="51696" applyNumberFormat="1" applyBorder="1">
      <alignment vertical="center"/>
    </xf>
    <xf numFmtId="177" fontId="9" fillId="43" borderId="113" xfId="51696" applyNumberFormat="1" applyBorder="1">
      <alignment vertical="center"/>
    </xf>
    <xf numFmtId="9" fontId="9" fillId="52" borderId="62" xfId="77" applyFill="1" applyBorder="1" applyAlignment="1" applyProtection="1">
      <alignment vertical="center"/>
    </xf>
    <xf numFmtId="9" fontId="9" fillId="52" borderId="68" xfId="77" applyFill="1" applyBorder="1" applyAlignment="1" applyProtection="1">
      <alignment vertical="center"/>
    </xf>
    <xf numFmtId="9" fontId="9" fillId="52" borderId="82" xfId="77" applyFill="1" applyBorder="1" applyAlignment="1" applyProtection="1">
      <alignment vertical="center"/>
    </xf>
    <xf numFmtId="9" fontId="9" fillId="52" borderId="176" xfId="77" applyFill="1" applyBorder="1" applyAlignment="1" applyProtection="1">
      <alignment vertical="center"/>
    </xf>
    <xf numFmtId="0" fontId="12" fillId="0" borderId="111" xfId="85" applyFont="1" applyBorder="1"/>
    <xf numFmtId="9" fontId="9" fillId="52" borderId="59" xfId="77" applyFill="1" applyBorder="1" applyAlignment="1" applyProtection="1">
      <alignment vertical="center"/>
    </xf>
    <xf numFmtId="0" fontId="32" fillId="47" borderId="130" xfId="90" applyFont="1" applyFill="1" applyBorder="1" applyAlignment="1" applyProtection="1">
      <alignment horizontal="center"/>
      <protection locked="0"/>
    </xf>
    <xf numFmtId="0" fontId="32" fillId="47" borderId="0" xfId="90" applyFont="1" applyFill="1" applyAlignment="1" applyProtection="1">
      <alignment horizontal="center"/>
      <protection locked="0"/>
    </xf>
    <xf numFmtId="0" fontId="13" fillId="0" borderId="0" xfId="0" applyFont="1" applyAlignment="1" applyProtection="1">
      <alignment horizontal="left" vertical="top"/>
      <protection locked="0"/>
    </xf>
    <xf numFmtId="0" fontId="249"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2" fillId="131" borderId="60" xfId="2" applyNumberFormat="1" applyFont="1" applyFill="1" applyBorder="1" applyProtection="1">
      <protection locked="0"/>
    </xf>
    <xf numFmtId="177" fontId="12" fillId="131" borderId="68" xfId="2" applyNumberFormat="1" applyFont="1" applyFill="1" applyBorder="1" applyProtection="1">
      <protection locked="0"/>
    </xf>
    <xf numFmtId="177" fontId="12"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2" fillId="131" borderId="59" xfId="2" applyNumberFormat="1" applyFont="1" applyFill="1" applyBorder="1" applyProtection="1">
      <protection locked="0"/>
    </xf>
    <xf numFmtId="177" fontId="12" fillId="3" borderId="76" xfId="2" applyNumberFormat="1" applyFont="1" applyFill="1" applyBorder="1" applyProtection="1">
      <protection locked="0"/>
    </xf>
    <xf numFmtId="177" fontId="12" fillId="3" borderId="87" xfId="2" applyNumberFormat="1" applyFont="1" applyFill="1" applyBorder="1" applyProtection="1">
      <protection locked="0"/>
    </xf>
    <xf numFmtId="0" fontId="10" fillId="0" borderId="0" xfId="0" applyFont="1" applyAlignment="1" applyProtection="1">
      <alignment vertical="top"/>
      <protection locked="0"/>
    </xf>
    <xf numFmtId="177" fontId="12" fillId="131" borderId="71" xfId="2" applyNumberFormat="1" applyFont="1" applyFill="1" applyBorder="1" applyProtection="1">
      <protection locked="0"/>
    </xf>
    <xf numFmtId="177" fontId="12" fillId="131" borderId="6" xfId="2" applyNumberFormat="1" applyFont="1" applyFill="1" applyBorder="1" applyProtection="1">
      <protection locked="0"/>
    </xf>
    <xf numFmtId="177" fontId="13" fillId="3" borderId="74" xfId="2" applyNumberFormat="1" applyFont="1" applyFill="1" applyBorder="1" applyProtection="1">
      <protection locked="0"/>
    </xf>
    <xf numFmtId="177" fontId="13" fillId="3" borderId="75" xfId="2" applyNumberFormat="1" applyFont="1" applyFill="1" applyBorder="1" applyProtection="1">
      <protection locked="0"/>
    </xf>
    <xf numFmtId="177" fontId="13" fillId="0" borderId="0" xfId="2" applyNumberFormat="1" applyFont="1" applyFill="1" applyBorder="1" applyProtection="1">
      <protection locked="0"/>
    </xf>
    <xf numFmtId="352" fontId="12" fillId="0" borderId="0" xfId="2" applyNumberFormat="1" applyFont="1" applyFill="1" applyBorder="1" applyAlignment="1" applyProtection="1">
      <alignment horizontal="center"/>
      <protection locked="0"/>
    </xf>
    <xf numFmtId="177" fontId="282"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3" fillId="0" borderId="0" xfId="2" applyNumberFormat="1" applyFont="1" applyFill="1" applyBorder="1" applyProtection="1">
      <protection locked="0"/>
    </xf>
    <xf numFmtId="0" fontId="29"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7" fillId="39" borderId="6" xfId="75" applyNumberFormat="1" applyFont="1" applyFill="1" applyBorder="1"/>
    <xf numFmtId="177" fontId="13" fillId="52" borderId="59" xfId="2" applyNumberFormat="1" applyFont="1" applyFill="1" applyBorder="1" applyProtection="1"/>
    <xf numFmtId="177" fontId="13" fillId="52" borderId="60" xfId="2" applyNumberFormat="1" applyFont="1" applyFill="1" applyBorder="1" applyProtection="1"/>
    <xf numFmtId="177" fontId="13" fillId="52" borderId="74" xfId="2" applyNumberFormat="1" applyFont="1" applyFill="1" applyBorder="1" applyProtection="1"/>
    <xf numFmtId="177" fontId="13" fillId="52" borderId="136" xfId="2" applyNumberFormat="1" applyFont="1" applyFill="1" applyBorder="1" applyProtection="1"/>
    <xf numFmtId="177" fontId="13" fillId="52" borderId="71" xfId="2" applyNumberFormat="1" applyFont="1" applyFill="1" applyBorder="1" applyProtection="1"/>
    <xf numFmtId="177" fontId="13" fillId="52" borderId="164" xfId="2" applyNumberFormat="1" applyFont="1" applyFill="1" applyBorder="1" applyProtection="1"/>
    <xf numFmtId="177" fontId="13" fillId="52" borderId="138" xfId="2" applyNumberFormat="1" applyFont="1" applyFill="1" applyBorder="1" applyProtection="1"/>
    <xf numFmtId="352" fontId="12" fillId="54" borderId="71" xfId="2" applyNumberFormat="1" applyFont="1" applyFill="1" applyBorder="1" applyAlignment="1" applyProtection="1">
      <alignment horizontal="center"/>
    </xf>
    <xf numFmtId="352" fontId="12" fillId="54" borderId="164" xfId="2" applyNumberFormat="1" applyFont="1" applyFill="1" applyBorder="1" applyAlignment="1" applyProtection="1">
      <alignment horizontal="center"/>
    </xf>
    <xf numFmtId="352" fontId="12" fillId="54" borderId="138" xfId="2" applyNumberFormat="1" applyFont="1" applyFill="1" applyBorder="1" applyAlignment="1" applyProtection="1">
      <alignment horizontal="center"/>
    </xf>
    <xf numFmtId="351" fontId="13"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2" fillId="52" borderId="71" xfId="2" applyNumberFormat="1" applyFont="1" applyFill="1" applyBorder="1" applyProtection="1"/>
    <xf numFmtId="10" fontId="12" fillId="52" borderId="72" xfId="2" applyNumberFormat="1" applyFont="1" applyFill="1" applyBorder="1" applyProtection="1"/>
    <xf numFmtId="0" fontId="288" fillId="47" borderId="142" xfId="90" applyFont="1" applyFill="1" applyBorder="1" applyAlignment="1" applyProtection="1">
      <alignment horizontal="center"/>
      <protection locked="0"/>
    </xf>
    <xf numFmtId="0" fontId="246" fillId="0" borderId="0" xfId="90" applyFont="1" applyAlignment="1" applyProtection="1">
      <alignment horizontal="left"/>
      <protection locked="0"/>
    </xf>
    <xf numFmtId="0" fontId="247" fillId="0" borderId="0" xfId="0" applyFont="1" applyProtection="1">
      <protection locked="0"/>
    </xf>
    <xf numFmtId="0" fontId="249" fillId="116" borderId="0" xfId="0" applyFont="1" applyFill="1" applyAlignment="1" applyProtection="1">
      <alignment vertical="top"/>
      <protection locked="0"/>
    </xf>
    <xf numFmtId="0" fontId="10"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2" fillId="0" borderId="0" xfId="0" applyFont="1" applyProtection="1">
      <protection locked="0"/>
    </xf>
    <xf numFmtId="177" fontId="0" fillId="0" borderId="0" xfId="0" applyNumberFormat="1" applyAlignment="1" applyProtection="1">
      <alignment horizontal="right" vertical="center"/>
      <protection locked="0"/>
    </xf>
    <xf numFmtId="173" fontId="13" fillId="0" borderId="0" xfId="0" applyNumberFormat="1" applyFont="1" applyAlignment="1" applyProtection="1">
      <alignment vertical="center"/>
      <protection locked="0"/>
    </xf>
    <xf numFmtId="177" fontId="12" fillId="0" borderId="0" xfId="0" applyNumberFormat="1" applyFont="1" applyAlignment="1" applyProtection="1">
      <alignment horizontal="left" vertical="center" indent="1"/>
      <protection locked="0"/>
    </xf>
    <xf numFmtId="173" fontId="31" fillId="0" borderId="0" xfId="0" applyNumberFormat="1" applyFont="1" applyAlignment="1" applyProtection="1">
      <alignment horizontal="left" vertical="center" indent="1"/>
      <protection locked="0"/>
    </xf>
    <xf numFmtId="0" fontId="13" fillId="53" borderId="0" xfId="85" applyFont="1" applyFill="1" applyAlignment="1" applyProtection="1">
      <alignment horizontal="left" vertical="center" wrapText="1"/>
      <protection locked="0"/>
    </xf>
    <xf numFmtId="0" fontId="12" fillId="53" borderId="0" xfId="85" applyFont="1" applyFill="1" applyAlignment="1" applyProtection="1">
      <alignment horizontal="left" vertical="center" wrapText="1"/>
      <protection locked="0"/>
    </xf>
    <xf numFmtId="177" fontId="12" fillId="0" borderId="0" xfId="2" applyNumberFormat="1" applyFont="1" applyProtection="1">
      <protection locked="0"/>
    </xf>
    <xf numFmtId="1" fontId="10"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2" fillId="52" borderId="62" xfId="2" applyNumberFormat="1" applyFont="1" applyFill="1" applyBorder="1" applyProtection="1"/>
    <xf numFmtId="0" fontId="4" fillId="0" borderId="179" xfId="51694" applyBorder="1" applyProtection="1">
      <protection locked="0"/>
    </xf>
    <xf numFmtId="0" fontId="4" fillId="0" borderId="0" xfId="51694" applyProtection="1">
      <protection locked="0"/>
    </xf>
    <xf numFmtId="0" fontId="275" fillId="47" borderId="0" xfId="90" applyFont="1" applyFill="1" applyAlignment="1" applyProtection="1">
      <alignment horizontal="left"/>
      <protection locked="0"/>
    </xf>
    <xf numFmtId="0" fontId="2" fillId="0" borderId="0" xfId="51694" applyFont="1" applyProtection="1">
      <protection locked="0"/>
    </xf>
    <xf numFmtId="180" fontId="273" fillId="47" borderId="0" xfId="90" applyNumberFormat="1" applyFont="1" applyFill="1" applyAlignment="1" applyProtection="1">
      <alignment horizontal="left"/>
      <protection locked="0"/>
    </xf>
    <xf numFmtId="0" fontId="283" fillId="135" borderId="167" xfId="51694" applyFont="1" applyFill="1" applyBorder="1" applyAlignment="1" applyProtection="1">
      <alignment horizontal="center" vertical="top" wrapText="1"/>
      <protection locked="0"/>
    </xf>
    <xf numFmtId="0" fontId="283" fillId="0" borderId="0" xfId="51694" applyFont="1" applyAlignment="1" applyProtection="1">
      <alignment horizontal="center" vertical="top" wrapText="1"/>
      <protection locked="0"/>
    </xf>
    <xf numFmtId="0" fontId="283" fillId="135" borderId="165" xfId="51694" applyFont="1" applyFill="1" applyBorder="1" applyAlignment="1" applyProtection="1">
      <alignment horizontal="center" vertical="center" wrapText="1"/>
      <protection locked="0"/>
    </xf>
    <xf numFmtId="0" fontId="283" fillId="135" borderId="6" xfId="51694" applyFont="1" applyFill="1" applyBorder="1" applyAlignment="1" applyProtection="1">
      <alignment horizontal="center" vertical="top"/>
      <protection locked="0"/>
    </xf>
    <xf numFmtId="0" fontId="283" fillId="0" borderId="0" xfId="51694" applyFont="1" applyAlignment="1" applyProtection="1">
      <alignment horizontal="center" vertical="top"/>
      <protection locked="0"/>
    </xf>
    <xf numFmtId="0" fontId="283" fillId="0" borderId="0" xfId="51694" applyFont="1" applyAlignment="1" applyProtection="1">
      <alignment horizontal="center" vertical="center" wrapText="1"/>
      <protection locked="0"/>
    </xf>
    <xf numFmtId="0" fontId="285" fillId="0" borderId="0" xfId="51694" applyFont="1" applyAlignment="1" applyProtection="1">
      <alignment horizontal="center" vertical="center" wrapText="1"/>
      <protection locked="0"/>
    </xf>
    <xf numFmtId="0" fontId="283" fillId="52" borderId="6" xfId="51694" applyFont="1" applyFill="1" applyBorder="1" applyAlignment="1" applyProtection="1">
      <alignment horizontal="center" vertical="top"/>
      <protection locked="0"/>
    </xf>
    <xf numFmtId="14" fontId="290" fillId="36" borderId="6" xfId="75" applyNumberFormat="1" applyFont="1" applyFill="1" applyBorder="1" applyAlignment="1" applyProtection="1">
      <alignment horizontal="center" vertical="center"/>
      <protection locked="0"/>
    </xf>
    <xf numFmtId="0" fontId="4" fillId="0" borderId="0" xfId="51694" applyAlignment="1" applyProtection="1">
      <alignment horizontal="center" vertical="center"/>
      <protection locked="0"/>
    </xf>
    <xf numFmtId="0" fontId="291" fillId="0" borderId="0" xfId="51694" applyFont="1" applyAlignment="1" applyProtection="1">
      <alignment vertical="top"/>
      <protection locked="0"/>
    </xf>
    <xf numFmtId="0" fontId="4" fillId="0" borderId="0" xfId="51694" applyAlignment="1" applyProtection="1">
      <alignment horizontal="left" vertical="top"/>
      <protection locked="0"/>
    </xf>
    <xf numFmtId="0" fontId="2" fillId="0" borderId="0" xfId="51694" applyFont="1" applyAlignment="1" applyProtection="1">
      <alignment horizontal="left" vertical="top"/>
      <protection locked="0"/>
    </xf>
    <xf numFmtId="9" fontId="284"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4" fillId="0" borderId="0" xfId="51694" applyAlignment="1" applyProtection="1">
      <alignment horizontal="left"/>
      <protection locked="0"/>
    </xf>
    <xf numFmtId="9" fontId="0" fillId="0" borderId="0" xfId="51695" applyFont="1" applyAlignment="1" applyProtection="1">
      <alignment horizontal="center"/>
      <protection locked="0"/>
    </xf>
    <xf numFmtId="0" fontId="286" fillId="0" borderId="0" xfId="51694" applyFont="1" applyAlignment="1" applyProtection="1">
      <alignment horizontal="left" vertical="center"/>
      <protection locked="0"/>
    </xf>
    <xf numFmtId="0" fontId="4" fillId="0" borderId="0" xfId="51694" applyAlignment="1" applyProtection="1">
      <alignment vertical="center"/>
      <protection locked="0"/>
    </xf>
    <xf numFmtId="178" fontId="290" fillId="0" borderId="0" xfId="75" applyNumberFormat="1" applyFont="1" applyAlignment="1" applyProtection="1">
      <alignment horizontal="center" vertical="center"/>
      <protection locked="0"/>
    </xf>
    <xf numFmtId="178" fontId="284" fillId="0" borderId="0" xfId="75" applyNumberFormat="1" applyFont="1" applyAlignment="1" applyProtection="1">
      <alignment horizontal="center" vertical="center"/>
      <protection locked="0"/>
    </xf>
    <xf numFmtId="178" fontId="287" fillId="0" borderId="0" xfId="75" applyNumberFormat="1" applyFont="1" applyAlignment="1" applyProtection="1">
      <alignment horizontal="center" vertical="center"/>
      <protection locked="0"/>
    </xf>
    <xf numFmtId="183" fontId="284" fillId="0" borderId="0" xfId="75" applyNumberFormat="1" applyFont="1" applyAlignment="1" applyProtection="1">
      <alignment horizontal="center" vertical="center"/>
      <protection locked="0"/>
    </xf>
    <xf numFmtId="178" fontId="4" fillId="0" borderId="0" xfId="51694" applyNumberFormat="1" applyAlignment="1" applyProtection="1">
      <alignment horizontal="center" vertical="center"/>
      <protection locked="0"/>
    </xf>
    <xf numFmtId="178" fontId="2" fillId="0" borderId="0" xfId="51694" applyNumberFormat="1" applyFont="1" applyAlignment="1" applyProtection="1">
      <alignment horizontal="center" vertical="center"/>
      <protection locked="0"/>
    </xf>
    <xf numFmtId="0" fontId="4" fillId="0" borderId="0" xfId="51694" applyAlignment="1" applyProtection="1">
      <alignment vertical="center" wrapText="1"/>
      <protection locked="0"/>
    </xf>
    <xf numFmtId="0" fontId="286" fillId="0" borderId="166" xfId="51694" applyFont="1" applyBorder="1" applyAlignment="1" applyProtection="1">
      <alignment horizontal="left"/>
      <protection locked="0"/>
    </xf>
    <xf numFmtId="0" fontId="286" fillId="0" borderId="167" xfId="51694" applyFont="1" applyBorder="1" applyAlignment="1" applyProtection="1">
      <alignment horizontal="left" vertical="center"/>
      <protection locked="0"/>
    </xf>
    <xf numFmtId="178" fontId="284" fillId="36" borderId="6" xfId="75" applyNumberFormat="1" applyFont="1" applyFill="1" applyBorder="1" applyAlignment="1" applyProtection="1">
      <alignment horizontal="center" vertical="center"/>
      <protection locked="0"/>
    </xf>
    <xf numFmtId="178" fontId="284" fillId="131" borderId="6" xfId="75" applyNumberFormat="1" applyFont="1" applyFill="1" applyBorder="1" applyAlignment="1" applyProtection="1">
      <alignment horizontal="center" vertical="center"/>
      <protection locked="0"/>
    </xf>
    <xf numFmtId="178" fontId="286" fillId="0" borderId="0" xfId="51694" applyNumberFormat="1" applyFont="1" applyAlignment="1" applyProtection="1">
      <alignment horizontal="center" vertical="center"/>
      <protection locked="0"/>
    </xf>
    <xf numFmtId="0" fontId="4" fillId="0" borderId="6" xfId="51694" applyBorder="1" applyAlignment="1" applyProtection="1">
      <alignment vertical="center" wrapText="1"/>
      <protection locked="0"/>
    </xf>
    <xf numFmtId="0" fontId="286" fillId="0" borderId="180" xfId="51694" applyFont="1" applyBorder="1" applyAlignment="1" applyProtection="1">
      <alignment horizontal="left" vertical="center"/>
      <protection locked="0"/>
    </xf>
    <xf numFmtId="0" fontId="286" fillId="0" borderId="11" xfId="51694" applyFont="1" applyBorder="1" applyAlignment="1" applyProtection="1">
      <alignment horizontal="left" vertical="center"/>
      <protection locked="0"/>
    </xf>
    <xf numFmtId="0" fontId="285" fillId="0" borderId="135" xfId="51694" applyFont="1" applyBorder="1" applyAlignment="1" applyProtection="1">
      <alignment horizontal="left" vertical="center"/>
      <protection locked="0"/>
    </xf>
    <xf numFmtId="0" fontId="286" fillId="0" borderId="138" xfId="51694" applyFont="1" applyBorder="1" applyAlignment="1" applyProtection="1">
      <alignment horizontal="left" vertical="center"/>
      <protection locked="0"/>
    </xf>
    <xf numFmtId="0" fontId="2" fillId="0" borderId="0" xfId="51694" applyFont="1" applyAlignment="1" applyProtection="1">
      <alignment vertical="center"/>
      <protection locked="0"/>
    </xf>
    <xf numFmtId="0" fontId="285" fillId="0" borderId="180" xfId="51694" applyFont="1" applyBorder="1" applyAlignment="1" applyProtection="1">
      <alignment horizontal="left" vertical="center"/>
      <protection locked="0"/>
    </xf>
    <xf numFmtId="178" fontId="283" fillId="0" borderId="28" xfId="51694" applyNumberFormat="1" applyFont="1" applyBorder="1" applyAlignment="1" applyProtection="1">
      <alignment horizontal="center" vertical="center"/>
      <protection locked="0"/>
    </xf>
    <xf numFmtId="178" fontId="283" fillId="0" borderId="0" xfId="51694" applyNumberFormat="1" applyFont="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286" fillId="0" borderId="180" xfId="51694" quotePrefix="1" applyFont="1" applyBorder="1" applyAlignment="1" applyProtection="1">
      <alignment horizontal="left" vertical="center"/>
      <protection locked="0"/>
    </xf>
    <xf numFmtId="0" fontId="283" fillId="0" borderId="135" xfId="51694" applyFont="1" applyBorder="1" applyAlignment="1" applyProtection="1">
      <alignment horizontal="left" vertical="center"/>
      <protection locked="0"/>
    </xf>
    <xf numFmtId="178" fontId="293" fillId="0" borderId="0" xfId="75" applyNumberFormat="1" applyFont="1" applyAlignment="1" applyProtection="1">
      <alignment horizontal="center" vertical="center"/>
      <protection locked="0"/>
    </xf>
    <xf numFmtId="0" fontId="285" fillId="0" borderId="0" xfId="51694" applyFont="1" applyAlignment="1" applyProtection="1">
      <alignment horizontal="left" vertical="center"/>
      <protection locked="0"/>
    </xf>
    <xf numFmtId="0" fontId="2" fillId="42" borderId="0" xfId="51694" applyFont="1" applyFill="1" applyAlignment="1" applyProtection="1">
      <alignment vertical="center"/>
      <protection locked="0"/>
    </xf>
    <xf numFmtId="0" fontId="283" fillId="0" borderId="166" xfId="51694" applyFont="1" applyBorder="1" applyAlignment="1" applyProtection="1">
      <alignment horizontal="left" vertical="center"/>
      <protection locked="0"/>
    </xf>
    <xf numFmtId="178" fontId="4" fillId="0" borderId="0" xfId="51694" applyNumberFormat="1" applyAlignment="1" applyProtection="1">
      <alignment horizontal="center"/>
      <protection locked="0"/>
    </xf>
    <xf numFmtId="178" fontId="286" fillId="0" borderId="0" xfId="51694" applyNumberFormat="1" applyFont="1" applyAlignment="1" applyProtection="1">
      <alignment horizontal="center"/>
      <protection locked="0"/>
    </xf>
    <xf numFmtId="0" fontId="4" fillId="0" borderId="0" xfId="51694" applyAlignment="1" applyProtection="1">
      <alignment wrapText="1"/>
      <protection locked="0"/>
    </xf>
    <xf numFmtId="0" fontId="4" fillId="0" borderId="180" xfId="51694" applyBorder="1" applyProtection="1">
      <protection locked="0"/>
    </xf>
    <xf numFmtId="0" fontId="286" fillId="0" borderId="11" xfId="51694" applyFont="1" applyBorder="1" applyProtection="1">
      <protection locked="0"/>
    </xf>
    <xf numFmtId="0" fontId="4" fillId="0" borderId="11" xfId="51694" applyBorder="1" applyProtection="1">
      <protection locked="0"/>
    </xf>
    <xf numFmtId="0" fontId="286" fillId="0" borderId="0" xfId="51694" applyFont="1" applyAlignment="1" applyProtection="1">
      <alignment horizontal="left"/>
      <protection locked="0"/>
    </xf>
    <xf numFmtId="178" fontId="284" fillId="0" borderId="0" xfId="75" applyNumberFormat="1" applyFont="1" applyAlignment="1" applyProtection="1">
      <alignment horizontal="center"/>
      <protection locked="0"/>
    </xf>
    <xf numFmtId="178" fontId="287" fillId="0" borderId="0" xfId="75" applyNumberFormat="1" applyFont="1" applyAlignment="1" applyProtection="1">
      <alignment horizontal="center"/>
      <protection locked="0"/>
    </xf>
    <xf numFmtId="0" fontId="283" fillId="0" borderId="166" xfId="51694" applyFont="1" applyBorder="1" applyAlignment="1" applyProtection="1">
      <alignment horizontal="left"/>
      <protection locked="0"/>
    </xf>
    <xf numFmtId="0" fontId="286" fillId="0" borderId="167" xfId="51694" applyFont="1" applyBorder="1" applyAlignment="1" applyProtection="1">
      <alignment horizontal="left"/>
      <protection locked="0"/>
    </xf>
    <xf numFmtId="0" fontId="283" fillId="0" borderId="180" xfId="51694" applyFont="1" applyBorder="1" applyAlignment="1" applyProtection="1">
      <alignment horizontal="left"/>
      <protection locked="0"/>
    </xf>
    <xf numFmtId="0" fontId="286" fillId="0" borderId="11"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6" fillId="0" borderId="180" xfId="51694" applyFont="1" applyBorder="1" applyAlignment="1" applyProtection="1">
      <alignment vertical="center"/>
      <protection locked="0"/>
    </xf>
    <xf numFmtId="0" fontId="4" fillId="0" borderId="11" xfId="51694" applyBorder="1" applyAlignment="1" applyProtection="1">
      <alignment vertical="center"/>
      <protection locked="0"/>
    </xf>
    <xf numFmtId="178" fontId="284" fillId="0" borderId="180" xfId="75" applyNumberFormat="1" applyFont="1" applyBorder="1" applyAlignment="1" applyProtection="1">
      <alignment horizontal="center" vertical="center"/>
      <protection locked="0"/>
    </xf>
    <xf numFmtId="178" fontId="4" fillId="0" borderId="11" xfId="51694" applyNumberFormat="1" applyBorder="1" applyAlignment="1" applyProtection="1">
      <alignment horizontal="center" vertical="center"/>
      <protection locked="0"/>
    </xf>
    <xf numFmtId="0" fontId="286" fillId="0" borderId="180" xfId="51694" quotePrefix="1" applyFont="1" applyBorder="1" applyAlignment="1" applyProtection="1">
      <alignment vertical="center"/>
      <protection locked="0"/>
    </xf>
    <xf numFmtId="0" fontId="285" fillId="0" borderId="180" xfId="51694" applyFont="1" applyBorder="1" applyProtection="1">
      <protection locked="0"/>
    </xf>
    <xf numFmtId="0" fontId="286"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6" fillId="0" borderId="89" xfId="51694" applyFont="1" applyBorder="1" applyAlignment="1" applyProtection="1">
      <alignment horizontal="left" vertical="center"/>
      <protection locked="0"/>
    </xf>
    <xf numFmtId="0" fontId="286" fillId="0" borderId="90" xfId="51694" applyFont="1" applyBorder="1" applyAlignment="1" applyProtection="1">
      <alignment horizontal="left" vertical="center"/>
      <protection locked="0"/>
    </xf>
    <xf numFmtId="178" fontId="4" fillId="0" borderId="142" xfId="51694" applyNumberFormat="1" applyBorder="1" applyAlignment="1" applyProtection="1">
      <alignment horizontal="center"/>
      <protection locked="0"/>
    </xf>
    <xf numFmtId="0" fontId="4" fillId="0" borderId="6" xfId="51694" applyBorder="1" applyAlignment="1" applyProtection="1">
      <alignment wrapText="1"/>
      <protection locked="0"/>
    </xf>
    <xf numFmtId="0" fontId="4" fillId="0" borderId="0" xfId="51694" applyAlignment="1" applyProtection="1">
      <alignment horizontal="left" vertical="center"/>
      <protection locked="0"/>
    </xf>
    <xf numFmtId="178" fontId="284" fillId="0" borderId="130" xfId="75" applyNumberFormat="1" applyFont="1" applyBorder="1" applyAlignment="1" applyProtection="1">
      <alignment horizontal="center" vertical="center"/>
      <protection locked="0"/>
    </xf>
    <xf numFmtId="178" fontId="4" fillId="0" borderId="130" xfId="51694" applyNumberFormat="1" applyBorder="1" applyAlignment="1" applyProtection="1">
      <alignment horizontal="center" vertical="center"/>
      <protection locked="0"/>
    </xf>
    <xf numFmtId="0" fontId="4" fillId="0" borderId="167" xfId="51694" applyBorder="1" applyAlignment="1" applyProtection="1">
      <alignment horizontal="left" vertical="center"/>
      <protection locked="0"/>
    </xf>
    <xf numFmtId="0" fontId="4" fillId="0" borderId="180" xfId="51694" applyBorder="1" applyAlignment="1" applyProtection="1">
      <alignment horizontal="left" vertical="center"/>
      <protection locked="0"/>
    </xf>
    <xf numFmtId="0" fontId="4" fillId="0" borderId="11" xfId="51694" applyBorder="1" applyAlignment="1" applyProtection="1">
      <alignment horizontal="left" vertical="center"/>
      <protection locked="0"/>
    </xf>
    <xf numFmtId="0" fontId="4" fillId="0" borderId="11" xfId="51694" applyBorder="1" applyAlignment="1" applyProtection="1">
      <alignment horizontal="left"/>
      <protection locked="0"/>
    </xf>
    <xf numFmtId="178" fontId="284" fillId="0" borderId="142" xfId="75" applyNumberFormat="1" applyFont="1" applyBorder="1" applyAlignment="1" applyProtection="1">
      <alignment horizontal="center"/>
      <protection locked="0"/>
    </xf>
    <xf numFmtId="178" fontId="284" fillId="140" borderId="6" xfId="75" applyNumberFormat="1" applyFont="1" applyFill="1" applyBorder="1" applyAlignment="1" applyProtection="1">
      <alignment horizontal="center" vertical="center"/>
      <protection locked="0"/>
    </xf>
    <xf numFmtId="0" fontId="4" fillId="0" borderId="89" xfId="51694" applyBorder="1" applyAlignment="1" applyProtection="1">
      <alignment horizontal="left"/>
      <protection locked="0"/>
    </xf>
    <xf numFmtId="0" fontId="4" fillId="0" borderId="90" xfId="51694" applyBorder="1" applyAlignment="1" applyProtection="1">
      <alignment horizontal="left"/>
      <protection locked="0"/>
    </xf>
    <xf numFmtId="0" fontId="283" fillId="0" borderId="0" xfId="51694" applyFont="1" applyAlignment="1" applyProtection="1">
      <alignment vertical="center"/>
      <protection locked="0"/>
    </xf>
    <xf numFmtId="178" fontId="285" fillId="0" borderId="0" xfId="51694" applyNumberFormat="1" applyFont="1" applyAlignment="1" applyProtection="1">
      <alignment horizontal="center"/>
      <protection locked="0"/>
    </xf>
    <xf numFmtId="0" fontId="283" fillId="0" borderId="0" xfId="51694" applyFont="1" applyProtection="1">
      <protection locked="0"/>
    </xf>
    <xf numFmtId="2" fontId="284" fillId="0" borderId="130" xfId="75" applyNumberFormat="1" applyFont="1" applyBorder="1" applyAlignment="1" applyProtection="1">
      <alignment horizontal="center"/>
      <protection locked="0"/>
    </xf>
    <xf numFmtId="0" fontId="284" fillId="0" borderId="0" xfId="51694" applyFont="1" applyProtection="1">
      <protection locked="0"/>
    </xf>
    <xf numFmtId="183" fontId="290" fillId="0" borderId="0" xfId="51694" applyNumberFormat="1" applyFont="1" applyAlignment="1" applyProtection="1">
      <alignment horizontal="center"/>
      <protection locked="0"/>
    </xf>
    <xf numFmtId="183" fontId="284" fillId="0" borderId="0" xfId="51694" applyNumberFormat="1" applyFont="1" applyAlignment="1" applyProtection="1">
      <alignment horizontal="center"/>
      <protection locked="0"/>
    </xf>
    <xf numFmtId="183" fontId="293" fillId="0" borderId="0" xfId="51694" applyNumberFormat="1" applyFont="1" applyAlignment="1" applyProtection="1">
      <alignment horizontal="center"/>
      <protection locked="0"/>
    </xf>
    <xf numFmtId="0" fontId="297" fillId="0" borderId="135" xfId="51694" applyFont="1" applyBorder="1" applyAlignment="1" applyProtection="1">
      <alignment vertical="center"/>
      <protection locked="0"/>
    </xf>
    <xf numFmtId="0" fontId="297" fillId="0" borderId="138" xfId="51694" applyFont="1" applyBorder="1" applyAlignment="1" applyProtection="1">
      <alignment vertical="center"/>
      <protection locked="0"/>
    </xf>
    <xf numFmtId="0" fontId="284" fillId="0" borderId="0" xfId="51694" applyFont="1" applyAlignment="1" applyProtection="1">
      <alignment vertical="center"/>
      <protection locked="0"/>
    </xf>
    <xf numFmtId="178" fontId="297" fillId="0" borderId="180" xfId="51694" applyNumberFormat="1" applyFont="1" applyBorder="1" applyAlignment="1" applyProtection="1">
      <alignment horizontal="center" vertical="center"/>
      <protection locked="0"/>
    </xf>
    <xf numFmtId="178" fontId="297" fillId="0" borderId="0" xfId="75" applyNumberFormat="1" applyFont="1" applyAlignment="1" applyProtection="1">
      <alignment horizontal="center" vertical="center"/>
      <protection locked="0"/>
    </xf>
    <xf numFmtId="178" fontId="298" fillId="0" borderId="0" xfId="51694" applyNumberFormat="1" applyFont="1" applyAlignment="1" applyProtection="1">
      <alignment horizontal="center" vertical="center"/>
      <protection locked="0"/>
    </xf>
    <xf numFmtId="178" fontId="293" fillId="0" borderId="0" xfId="51694" applyNumberFormat="1" applyFont="1" applyAlignment="1" applyProtection="1">
      <alignment horizontal="center" vertical="center"/>
      <protection locked="0"/>
    </xf>
    <xf numFmtId="0" fontId="290" fillId="0" borderId="0" xfId="51694" applyFont="1" applyProtection="1">
      <protection locked="0"/>
    </xf>
    <xf numFmtId="0" fontId="4" fillId="0" borderId="0" xfId="51694" quotePrefix="1" applyProtection="1">
      <protection locked="0"/>
    </xf>
    <xf numFmtId="0" fontId="4" fillId="0" borderId="0" xfId="51694" applyAlignment="1" applyProtection="1">
      <alignment horizontal="center"/>
      <protection locked="0"/>
    </xf>
    <xf numFmtId="0" fontId="286" fillId="0" borderId="0" xfId="51694" applyFont="1" applyAlignment="1" applyProtection="1">
      <alignment horizontal="center"/>
      <protection locked="0"/>
    </xf>
    <xf numFmtId="9" fontId="4" fillId="0" borderId="0" xfId="51694" applyNumberFormat="1" applyProtection="1">
      <protection locked="0"/>
    </xf>
    <xf numFmtId="178" fontId="4" fillId="0" borderId="0" xfId="51694" applyNumberFormat="1" applyProtection="1">
      <protection locked="0"/>
    </xf>
    <xf numFmtId="2" fontId="4" fillId="0" borderId="0" xfId="51694" applyNumberFormat="1" applyProtection="1">
      <protection locked="0"/>
    </xf>
    <xf numFmtId="9" fontId="284" fillId="131" borderId="6" xfId="51695" applyFont="1" applyFill="1" applyBorder="1" applyAlignment="1" applyProtection="1">
      <alignment horizontal="center"/>
    </xf>
    <xf numFmtId="178" fontId="284" fillId="52" borderId="6" xfId="75"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178" fontId="290" fillId="52" borderId="6" xfId="75" applyNumberFormat="1" applyFont="1" applyFill="1" applyBorder="1" applyAlignment="1">
      <alignment horizontal="center" vertical="center"/>
    </xf>
    <xf numFmtId="183" fontId="284" fillId="0" borderId="6" xfId="51694" applyNumberFormat="1" applyFont="1" applyBorder="1" applyAlignment="1">
      <alignment horizontal="center"/>
    </xf>
    <xf numFmtId="178" fontId="298" fillId="0" borderId="6" xfId="51694" applyNumberFormat="1" applyFont="1" applyBorder="1" applyAlignment="1">
      <alignment horizontal="center" vertical="center"/>
    </xf>
    <xf numFmtId="183" fontId="284" fillId="52" borderId="6" xfId="51694" applyNumberFormat="1" applyFont="1" applyFill="1" applyBorder="1" applyAlignment="1">
      <alignment horizontal="center"/>
    </xf>
    <xf numFmtId="178" fontId="298" fillId="52" borderId="6" xfId="51694" applyNumberFormat="1" applyFont="1" applyFill="1" applyBorder="1" applyAlignment="1">
      <alignment horizontal="center" vertical="center"/>
    </xf>
    <xf numFmtId="178" fontId="284" fillId="52" borderId="6" xfId="51694" applyNumberFormat="1" applyFont="1" applyFill="1" applyBorder="1" applyAlignment="1">
      <alignment horizontal="center" vertical="center"/>
    </xf>
    <xf numFmtId="178" fontId="2" fillId="52" borderId="6" xfId="51694" applyNumberFormat="1" applyFont="1" applyFill="1" applyBorder="1" applyAlignment="1">
      <alignment horizontal="center" vertical="center"/>
    </xf>
    <xf numFmtId="0" fontId="10"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10" fillId="0" borderId="0" xfId="0" applyNumberFormat="1" applyFont="1" applyProtection="1">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10"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2" fillId="3" borderId="6" xfId="2" applyNumberFormat="1" applyFont="1" applyFill="1" applyBorder="1" applyProtection="1">
      <protection locked="0"/>
    </xf>
    <xf numFmtId="14" fontId="12" fillId="42" borderId="0" xfId="2" applyNumberFormat="1" applyFont="1" applyFill="1" applyBorder="1" applyProtection="1">
      <protection locked="0"/>
    </xf>
    <xf numFmtId="0" fontId="12" fillId="3" borderId="6" xfId="2" applyNumberFormat="1" applyFont="1" applyFill="1" applyBorder="1" applyAlignment="1" applyProtection="1">
      <alignment horizontal="center" vertical="center"/>
      <protection locked="0"/>
    </xf>
    <xf numFmtId="14" fontId="12" fillId="51" borderId="0" xfId="2" applyNumberFormat="1" applyFont="1" applyFill="1" applyBorder="1" applyAlignment="1" applyProtection="1">
      <alignment horizontal="center" vertical="center"/>
      <protection locked="0"/>
    </xf>
    <xf numFmtId="14" fontId="12"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2" fillId="0" borderId="0" xfId="0" applyNumberFormat="1" applyFont="1" applyAlignment="1" applyProtection="1">
      <alignment vertical="center"/>
      <protection locked="0"/>
    </xf>
    <xf numFmtId="0" fontId="294" fillId="47" borderId="0" xfId="51698" applyFont="1" applyFill="1" applyProtection="1">
      <protection locked="0"/>
    </xf>
    <xf numFmtId="0" fontId="295" fillId="47" borderId="0" xfId="51698" applyFont="1" applyFill="1" applyProtection="1">
      <protection locked="0"/>
    </xf>
    <xf numFmtId="0" fontId="295" fillId="47" borderId="11" xfId="51698" applyFont="1" applyFill="1" applyBorder="1" applyProtection="1">
      <protection locked="0"/>
    </xf>
    <xf numFmtId="0" fontId="3" fillId="0" borderId="0" xfId="51698" applyProtection="1">
      <protection locked="0"/>
    </xf>
    <xf numFmtId="0" fontId="294" fillId="47" borderId="142" xfId="51698" applyFont="1" applyFill="1" applyBorder="1" applyProtection="1">
      <protection locked="0"/>
    </xf>
    <xf numFmtId="0" fontId="295" fillId="47" borderId="142" xfId="51698" applyFont="1" applyFill="1" applyBorder="1" applyProtection="1">
      <protection locked="0"/>
    </xf>
    <xf numFmtId="0" fontId="295" fillId="47" borderId="90" xfId="51698" applyFont="1" applyFill="1" applyBorder="1" applyProtection="1">
      <protection locked="0"/>
    </xf>
    <xf numFmtId="173" fontId="295" fillId="0" borderId="0" xfId="51698" applyNumberFormat="1" applyFont="1" applyAlignment="1" applyProtection="1">
      <alignment vertical="center"/>
      <protection locked="0"/>
    </xf>
    <xf numFmtId="0" fontId="9" fillId="0" borderId="0" xfId="51698" applyFont="1" applyProtection="1">
      <protection locked="0"/>
    </xf>
    <xf numFmtId="0" fontId="295" fillId="136" borderId="0" xfId="51698" applyFont="1" applyFill="1"/>
    <xf numFmtId="0" fontId="296" fillId="0" borderId="0" xfId="51698" applyFont="1"/>
    <xf numFmtId="0" fontId="272" fillId="0" borderId="0" xfId="51698" applyFont="1"/>
    <xf numFmtId="0" fontId="272" fillId="0" borderId="0" xfId="51698" applyFont="1" applyAlignment="1">
      <alignment horizontal="left"/>
    </xf>
    <xf numFmtId="0" fontId="13" fillId="0" borderId="0" xfId="51698" applyFont="1" applyAlignment="1">
      <alignment horizontal="left"/>
    </xf>
    <xf numFmtId="0" fontId="12" fillId="0" borderId="0" xfId="51698" applyFont="1"/>
    <xf numFmtId="0" fontId="12" fillId="0" borderId="0" xfId="51698" applyFont="1" applyAlignment="1">
      <alignment horizontal="left"/>
    </xf>
    <xf numFmtId="0" fontId="296"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9" fillId="0" borderId="0" xfId="51698" applyNumberFormat="1" applyFont="1"/>
    <xf numFmtId="10" fontId="3" fillId="0" borderId="0" xfId="51698" applyNumberFormat="1"/>
    <xf numFmtId="356" fontId="9" fillId="0" borderId="0" xfId="51698" applyNumberFormat="1" applyFont="1" applyAlignment="1">
      <alignment horizontal="left" vertical="center" indent="1"/>
    </xf>
    <xf numFmtId="1" fontId="12" fillId="51" borderId="6" xfId="51698" applyNumberFormat="1" applyFont="1" applyFill="1" applyBorder="1" applyAlignment="1">
      <alignment vertical="center"/>
    </xf>
    <xf numFmtId="0" fontId="13" fillId="0" borderId="0" xfId="51700" applyFont="1"/>
    <xf numFmtId="0" fontId="9" fillId="0" borderId="0" xfId="51701"/>
    <xf numFmtId="0" fontId="12" fillId="0" borderId="0" xfId="51700" applyFont="1" applyAlignment="1">
      <alignment horizontal="center"/>
    </xf>
    <xf numFmtId="355" fontId="9" fillId="0" borderId="0" xfId="51698" applyNumberFormat="1" applyFont="1"/>
    <xf numFmtId="17" fontId="12" fillId="0" borderId="0" xfId="51700" applyNumberFormat="1" applyFont="1" applyAlignment="1">
      <alignment horizontal="center"/>
    </xf>
    <xf numFmtId="0" fontId="12" fillId="2" borderId="6" xfId="51700" applyFont="1" applyFill="1" applyBorder="1" applyAlignment="1">
      <alignment horizontal="center"/>
    </xf>
    <xf numFmtId="0" fontId="12" fillId="138" borderId="166" xfId="0" applyFont="1" applyFill="1" applyBorder="1"/>
    <xf numFmtId="0" fontId="12" fillId="138" borderId="130" xfId="0" applyFont="1" applyFill="1" applyBorder="1"/>
    <xf numFmtId="0" fontId="12" fillId="138" borderId="167" xfId="0" applyFont="1" applyFill="1" applyBorder="1"/>
    <xf numFmtId="0" fontId="12" fillId="138" borderId="89" xfId="0" applyFont="1" applyFill="1" applyBorder="1"/>
    <xf numFmtId="0" fontId="12" fillId="138" borderId="142" xfId="0" applyFont="1" applyFill="1" applyBorder="1"/>
    <xf numFmtId="0" fontId="12" fillId="138" borderId="90" xfId="0" applyFont="1" applyFill="1" applyBorder="1"/>
    <xf numFmtId="2" fontId="9" fillId="0" borderId="0" xfId="51698" applyNumberFormat="1" applyFont="1"/>
    <xf numFmtId="2" fontId="0" fillId="0" borderId="0" xfId="51698" applyNumberFormat="1" applyFont="1"/>
    <xf numFmtId="2" fontId="12" fillId="51" borderId="6" xfId="51700" applyNumberFormat="1" applyFont="1" applyFill="1" applyBorder="1"/>
    <xf numFmtId="356" fontId="0" fillId="0" borderId="0" xfId="51698" applyNumberFormat="1" applyFont="1" applyAlignment="1">
      <alignment horizontal="left" vertical="center" indent="1"/>
    </xf>
    <xf numFmtId="10" fontId="12" fillId="52" borderId="6" xfId="51702" applyNumberFormat="1" applyFont="1" applyFill="1" applyBorder="1" applyProtection="1"/>
    <xf numFmtId="185" fontId="0" fillId="0" borderId="0" xfId="51703" applyFont="1" applyAlignment="1">
      <alignment horizontal="left" indent="1"/>
    </xf>
    <xf numFmtId="0" fontId="12" fillId="138" borderId="165" xfId="0" applyFont="1" applyFill="1" applyBorder="1"/>
    <xf numFmtId="0" fontId="12" fillId="138" borderId="179" xfId="0" applyFont="1" applyFill="1" applyBorder="1"/>
    <xf numFmtId="0" fontId="12" fillId="138" borderId="120" xfId="0" applyFont="1" applyFill="1" applyBorder="1"/>
    <xf numFmtId="0" fontId="295" fillId="0" borderId="0" xfId="51698" applyFont="1" applyProtection="1">
      <protection locked="0"/>
    </xf>
    <xf numFmtId="358" fontId="13"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10" fontId="13" fillId="0" borderId="0" xfId="51704" applyFont="1" applyFill="1" applyAlignment="1" applyProtection="1">
      <alignment horizontal="center" vertical="center" wrapText="1"/>
      <protection locked="0"/>
    </xf>
    <xf numFmtId="10" fontId="13" fillId="0" borderId="0" xfId="0" applyNumberFormat="1" applyFont="1" applyAlignment="1" applyProtection="1">
      <alignment horizontal="center" vertical="center" wrapText="1"/>
      <protection locked="0"/>
    </xf>
    <xf numFmtId="0" fontId="13" fillId="0" borderId="0" xfId="3428" applyNumberFormat="1" applyFont="1" applyAlignment="1" applyProtection="1">
      <alignment horizontal="center" vertical="center" wrapText="1"/>
      <protection locked="0"/>
    </xf>
    <xf numFmtId="0" fontId="13" fillId="0" borderId="0" xfId="0" applyFont="1" applyProtection="1">
      <protection locked="0"/>
    </xf>
    <xf numFmtId="14" fontId="12" fillId="0" borderId="0" xfId="0" applyNumberFormat="1" applyFont="1" applyProtection="1">
      <protection locked="0"/>
    </xf>
    <xf numFmtId="178" fontId="28" fillId="0" borderId="0" xfId="51705" applyNumberFormat="1" applyFont="1" applyProtection="1">
      <protection locked="0"/>
    </xf>
    <xf numFmtId="10" fontId="0" fillId="0" borderId="0" xfId="51706" applyNumberFormat="1" applyFont="1" applyProtection="1">
      <protection locked="0"/>
    </xf>
    <xf numFmtId="354" fontId="0" fillId="0" borderId="0" xfId="51706" applyNumberFormat="1" applyFont="1" applyProtection="1">
      <protection locked="0"/>
    </xf>
    <xf numFmtId="359" fontId="12" fillId="0" borderId="0" xfId="0" applyNumberFormat="1" applyFont="1" applyProtection="1">
      <protection locked="0"/>
    </xf>
    <xf numFmtId="0" fontId="12" fillId="53" borderId="6" xfId="0" applyFont="1" applyFill="1" applyBorder="1" applyProtection="1">
      <protection locked="0"/>
    </xf>
    <xf numFmtId="358" fontId="31" fillId="0" borderId="0" xfId="0" applyNumberFormat="1" applyFont="1" applyProtection="1">
      <protection locked="0"/>
    </xf>
    <xf numFmtId="10" fontId="12" fillId="0" borderId="0" xfId="51704" applyFont="1" applyFill="1" applyAlignment="1" applyProtection="1">
      <protection locked="0"/>
    </xf>
    <xf numFmtId="177" fontId="12" fillId="0" borderId="0" xfId="3428" applyNumberFormat="1" applyFont="1" applyFill="1" applyProtection="1">
      <protection locked="0"/>
    </xf>
    <xf numFmtId="358" fontId="12" fillId="0" borderId="0" xfId="0" applyNumberFormat="1" applyFont="1" applyProtection="1">
      <protection locked="0"/>
    </xf>
    <xf numFmtId="14" fontId="12" fillId="0" borderId="0" xfId="0" applyNumberFormat="1" applyFont="1"/>
    <xf numFmtId="1" fontId="12" fillId="0" borderId="0" xfId="0" applyNumberFormat="1" applyFont="1"/>
    <xf numFmtId="10" fontId="12" fillId="51" borderId="6" xfId="51704" applyFont="1" applyFill="1" applyBorder="1" applyAlignment="1" applyProtection="1"/>
    <xf numFmtId="177" fontId="12" fillId="52" borderId="6" xfId="3428" applyNumberFormat="1" applyFont="1" applyFill="1" applyBorder="1" applyProtection="1"/>
    <xf numFmtId="178" fontId="287" fillId="0" borderId="0" xfId="75" applyNumberFormat="1" applyFont="1" applyAlignment="1" applyProtection="1">
      <alignment horizontal="center" vertical="center" wrapText="1"/>
      <protection locked="0"/>
    </xf>
    <xf numFmtId="0" fontId="33" fillId="47" borderId="130" xfId="75" applyFont="1" applyFill="1" applyBorder="1"/>
    <xf numFmtId="0" fontId="273" fillId="47" borderId="142" xfId="90" applyFont="1" applyFill="1" applyBorder="1" applyAlignment="1">
      <alignment horizontal="left"/>
    </xf>
    <xf numFmtId="0" fontId="275" fillId="47" borderId="142" xfId="90" applyFont="1" applyFill="1" applyBorder="1" applyAlignment="1">
      <alignment horizontal="left"/>
    </xf>
    <xf numFmtId="0" fontId="250" fillId="0" borderId="0" xfId="79" applyFont="1" applyAlignment="1">
      <alignment horizontal="left"/>
    </xf>
    <xf numFmtId="0" fontId="250" fillId="0" borderId="0" xfId="79" applyFont="1" applyAlignment="1">
      <alignment horizontal="left" indent="1"/>
    </xf>
    <xf numFmtId="0" fontId="251" fillId="0" borderId="0" xfId="78" applyFont="1"/>
    <xf numFmtId="0" fontId="252" fillId="0" borderId="0" xfId="78" applyFont="1"/>
    <xf numFmtId="0" fontId="250" fillId="0" borderId="0" xfId="78" applyFont="1" applyAlignment="1">
      <alignment horizontal="left"/>
    </xf>
    <xf numFmtId="173" fontId="39" fillId="48" borderId="0" xfId="94" applyAlignment="1">
      <alignment horizontal="left" vertical="center" indent="1"/>
    </xf>
    <xf numFmtId="173" fontId="39" fillId="48" borderId="0" xfId="94">
      <alignment vertical="center"/>
    </xf>
    <xf numFmtId="173" fontId="39" fillId="0" borderId="0" xfId="94" applyFill="1">
      <alignment vertical="center"/>
    </xf>
    <xf numFmtId="173" fontId="39" fillId="0" borderId="0" xfId="0" applyNumberFormat="1" applyFont="1" applyAlignment="1">
      <alignment vertical="center"/>
    </xf>
    <xf numFmtId="173" fontId="39" fillId="0" borderId="0" xfId="94" applyFill="1" applyAlignment="1">
      <alignment horizontal="left" vertical="center" indent="1"/>
    </xf>
    <xf numFmtId="0" fontId="254" fillId="0" borderId="0" xfId="85" applyFont="1" applyAlignment="1">
      <alignment horizontal="left" indent="1"/>
    </xf>
    <xf numFmtId="0" fontId="13"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2" fillId="0" borderId="0" xfId="85" applyFont="1" applyAlignment="1">
      <alignment horizontal="left" indent="1"/>
    </xf>
    <xf numFmtId="353" fontId="10" fillId="2" borderId="6" xfId="0" applyNumberFormat="1" applyFont="1" applyFill="1" applyBorder="1" applyAlignment="1">
      <alignment horizontal="center" vertical="center"/>
    </xf>
    <xf numFmtId="0" fontId="12" fillId="0" borderId="0" xfId="80" applyFont="1" applyAlignment="1">
      <alignment horizontal="right" indent="1"/>
    </xf>
    <xf numFmtId="1" fontId="10" fillId="2" borderId="104" xfId="0" applyNumberFormat="1" applyFont="1" applyFill="1" applyBorder="1" applyAlignment="1">
      <alignment horizontal="center" vertical="center"/>
    </xf>
    <xf numFmtId="1" fontId="10" fillId="2" borderId="118" xfId="0" applyNumberFormat="1" applyFont="1" applyFill="1" applyBorder="1" applyAlignment="1">
      <alignment horizontal="center" vertical="center"/>
    </xf>
    <xf numFmtId="1" fontId="10" fillId="2" borderId="73" xfId="0" applyNumberFormat="1" applyFont="1" applyFill="1" applyBorder="1" applyAlignment="1">
      <alignment horizontal="center" vertical="center"/>
    </xf>
    <xf numFmtId="14" fontId="0" fillId="2" borderId="6" xfId="0" applyNumberFormat="1" applyFill="1" applyBorder="1"/>
    <xf numFmtId="0" fontId="13" fillId="0" borderId="0" xfId="85" applyFont="1" applyAlignment="1">
      <alignment horizontal="left" indent="1"/>
    </xf>
    <xf numFmtId="0" fontId="12" fillId="0" borderId="0" xfId="48236"/>
    <xf numFmtId="0" fontId="12" fillId="0" borderId="59" xfId="85" applyFont="1" applyBorder="1" applyAlignment="1">
      <alignment horizontal="center"/>
    </xf>
    <xf numFmtId="0" fontId="12" fillId="0" borderId="60" xfId="85" applyFont="1" applyBorder="1" applyAlignment="1">
      <alignment horizontal="center"/>
    </xf>
    <xf numFmtId="0" fontId="12" fillId="0" borderId="96" xfId="85" applyFont="1" applyBorder="1" applyAlignment="1">
      <alignment horizontal="center"/>
    </xf>
    <xf numFmtId="0" fontId="12" fillId="0" borderId="112" xfId="85" applyFont="1" applyBorder="1" applyAlignment="1">
      <alignment horizontal="center"/>
    </xf>
    <xf numFmtId="173" fontId="12" fillId="0" borderId="0" xfId="0" applyNumberFormat="1" applyFont="1" applyAlignment="1">
      <alignment horizontal="left" vertical="center" wrapText="1"/>
    </xf>
    <xf numFmtId="0" fontId="282" fillId="0" borderId="0" xfId="85" applyFont="1"/>
    <xf numFmtId="0" fontId="12" fillId="0" borderId="6" xfId="85" applyFont="1" applyBorder="1"/>
    <xf numFmtId="0" fontId="12" fillId="51" borderId="0" xfId="85" applyFont="1" applyFill="1"/>
    <xf numFmtId="0" fontId="257" fillId="0" borderId="0" xfId="85" applyFont="1"/>
    <xf numFmtId="178" fontId="12" fillId="0" borderId="0" xfId="85" applyNumberFormat="1" applyFont="1"/>
    <xf numFmtId="0" fontId="13" fillId="0" borderId="0" xfId="85" applyFont="1" applyAlignment="1">
      <alignment horizontal="right"/>
    </xf>
    <xf numFmtId="0" fontId="13" fillId="0" borderId="0" xfId="85" applyFont="1" applyAlignment="1">
      <alignment vertical="center"/>
    </xf>
    <xf numFmtId="0" fontId="9" fillId="0" borderId="0" xfId="0" applyFont="1"/>
    <xf numFmtId="0" fontId="12" fillId="0" borderId="0" xfId="85" applyFont="1" applyAlignment="1">
      <alignment horizontal="left" vertical="center" wrapText="1"/>
    </xf>
    <xf numFmtId="351" fontId="12" fillId="0" borderId="0" xfId="85" applyNumberFormat="1" applyFont="1"/>
    <xf numFmtId="173" fontId="38" fillId="42" borderId="0" xfId="0" applyNumberFormat="1" applyFont="1" applyFill="1" applyAlignment="1">
      <alignment vertical="center"/>
    </xf>
    <xf numFmtId="173" fontId="40" fillId="49" borderId="0" xfId="96" applyAlignment="1">
      <alignment horizontal="left" vertical="center" indent="1"/>
    </xf>
    <xf numFmtId="173" fontId="40" fillId="49" borderId="0" xfId="96" applyAlignment="1">
      <alignment vertical="center"/>
    </xf>
    <xf numFmtId="173" fontId="40" fillId="0" borderId="0" xfId="96" applyFill="1" applyAlignment="1">
      <alignment vertical="center"/>
    </xf>
    <xf numFmtId="173" fontId="12" fillId="3" borderId="135" xfId="0" applyNumberFormat="1" applyFont="1" applyFill="1" applyBorder="1" applyAlignment="1" applyProtection="1">
      <alignment vertical="center"/>
      <protection locked="0"/>
    </xf>
    <xf numFmtId="173" fontId="12" fillId="3" borderId="28" xfId="0" applyNumberFormat="1" applyFont="1" applyFill="1" applyBorder="1" applyAlignment="1" applyProtection="1">
      <alignment vertical="center" wrapText="1"/>
      <protection locked="0"/>
    </xf>
    <xf numFmtId="173" fontId="12" fillId="3" borderId="28" xfId="0" applyNumberFormat="1" applyFont="1" applyFill="1" applyBorder="1" applyAlignment="1" applyProtection="1">
      <alignment horizontal="left" vertical="center" wrapText="1"/>
      <protection locked="0"/>
    </xf>
    <xf numFmtId="173" fontId="12"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10" fillId="53" borderId="199" xfId="0" applyNumberFormat="1" applyFont="1" applyFill="1" applyBorder="1" applyAlignment="1">
      <alignment horizontal="center" vertical="center"/>
    </xf>
    <xf numFmtId="1" fontId="10" fillId="53" borderId="200" xfId="0" applyNumberFormat="1" applyFont="1" applyFill="1" applyBorder="1" applyAlignment="1">
      <alignment horizontal="center" vertical="center"/>
    </xf>
    <xf numFmtId="178" fontId="0" fillId="117" borderId="201" xfId="0" applyNumberFormat="1" applyFill="1" applyBorder="1" applyAlignment="1">
      <alignment horizontal="right" indent="1"/>
    </xf>
    <xf numFmtId="10" fontId="0" fillId="52" borderId="202" xfId="0" applyNumberFormat="1" applyFill="1" applyBorder="1"/>
    <xf numFmtId="178" fontId="0" fillId="117" borderId="203" xfId="0" applyNumberFormat="1" applyFill="1" applyBorder="1" applyAlignment="1">
      <alignment horizontal="right" indent="1"/>
    </xf>
    <xf numFmtId="10" fontId="0" fillId="52" borderId="204" xfId="0" applyNumberFormat="1" applyFill="1" applyBorder="1"/>
    <xf numFmtId="178" fontId="0" fillId="117" borderId="202" xfId="0" applyNumberFormat="1" applyFill="1" applyBorder="1" applyAlignment="1">
      <alignment horizontal="right" indent="1"/>
    </xf>
    <xf numFmtId="10" fontId="0" fillId="52" borderId="205"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6" xfId="0" applyNumberFormat="1" applyFill="1" applyBorder="1" applyAlignment="1">
      <alignment horizontal="right" indent="1"/>
    </xf>
    <xf numFmtId="0" fontId="0" fillId="0" borderId="156" xfId="0" applyBorder="1"/>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1" fontId="10" fillId="53" borderId="212" xfId="0" applyNumberFormat="1" applyFont="1" applyFill="1" applyBorder="1" applyAlignment="1">
      <alignment horizontal="center" vertical="center"/>
    </xf>
    <xf numFmtId="1" fontId="10" fillId="53" borderId="213" xfId="0" applyNumberFormat="1" applyFont="1" applyFill="1" applyBorder="1" applyAlignment="1">
      <alignment horizontal="center" vertical="center"/>
    </xf>
    <xf numFmtId="1" fontId="10" fillId="53" borderId="214" xfId="0" applyNumberFormat="1" applyFont="1" applyFill="1" applyBorder="1" applyAlignment="1">
      <alignment horizontal="center" vertical="center"/>
    </xf>
    <xf numFmtId="1" fontId="10" fillId="53" borderId="215" xfId="0" applyNumberFormat="1" applyFont="1" applyFill="1" applyBorder="1" applyAlignment="1">
      <alignment horizontal="center" vertical="center"/>
    </xf>
    <xf numFmtId="178" fontId="0" fillId="117" borderId="216"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7"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2" fillId="52" borderId="59" xfId="1" applyFont="1" applyFill="1" applyBorder="1" applyAlignment="1" applyProtection="1">
      <alignment vertical="center"/>
    </xf>
    <xf numFmtId="169" fontId="12" fillId="52" borderId="61" xfId="1" applyFont="1" applyFill="1" applyBorder="1" applyAlignment="1" applyProtection="1">
      <alignment vertical="center"/>
    </xf>
    <xf numFmtId="43" fontId="0" fillId="0" borderId="0" xfId="0" applyNumberFormat="1"/>
    <xf numFmtId="0" fontId="0" fillId="54" borderId="0" xfId="0" applyFill="1"/>
    <xf numFmtId="0" fontId="249" fillId="54" borderId="0" xfId="0" applyFont="1" applyFill="1"/>
    <xf numFmtId="3" fontId="12"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5"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2" fillId="52" borderId="6" xfId="2" applyNumberFormat="1" applyFont="1" applyFill="1" applyBorder="1" applyProtection="1"/>
    <xf numFmtId="0" fontId="12"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7" xfId="0" applyBorder="1" applyAlignment="1">
      <alignment vertical="top" wrapText="1"/>
    </xf>
    <xf numFmtId="0" fontId="13" fillId="54" borderId="0" xfId="85" applyFont="1" applyFill="1" applyAlignment="1" applyProtection="1">
      <alignment horizontal="left" vertical="center" wrapText="1"/>
      <protection locked="0"/>
    </xf>
    <xf numFmtId="183" fontId="12" fillId="0" borderId="6" xfId="7" applyNumberFormat="1" applyFont="1" applyBorder="1" applyAlignment="1">
      <alignment horizontal="center" vertical="center"/>
    </xf>
    <xf numFmtId="0" fontId="0" fillId="54" borderId="0" xfId="0" applyFill="1" applyAlignment="1">
      <alignment wrapText="1"/>
    </xf>
    <xf numFmtId="0" fontId="286"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3" fillId="54" borderId="0" xfId="75" applyNumberFormat="1" applyFont="1" applyFill="1" applyAlignment="1" applyProtection="1">
      <alignment horizontal="center" vertical="center"/>
      <protection locked="0"/>
    </xf>
    <xf numFmtId="178" fontId="290" fillId="54" borderId="0" xfId="75" applyNumberFormat="1" applyFont="1" applyFill="1" applyAlignment="1" applyProtection="1">
      <alignment horizontal="center" vertical="center"/>
      <protection locked="0"/>
    </xf>
    <xf numFmtId="0" fontId="4" fillId="54" borderId="138" xfId="51694" applyFill="1" applyBorder="1" applyAlignment="1" applyProtection="1">
      <alignment vertical="center"/>
      <protection locked="0"/>
    </xf>
    <xf numFmtId="0" fontId="283" fillId="54" borderId="135" xfId="51694" applyFont="1" applyFill="1" applyBorder="1" applyAlignment="1" applyProtection="1">
      <alignment vertical="center"/>
      <protection locked="0"/>
    </xf>
    <xf numFmtId="0" fontId="283" fillId="54" borderId="135" xfId="51694" applyFont="1" applyFill="1" applyBorder="1" applyAlignment="1" applyProtection="1">
      <alignment horizontal="left" vertical="center"/>
      <protection locked="0"/>
    </xf>
    <xf numFmtId="0" fontId="283" fillId="54" borderId="138" xfId="51694" applyFont="1" applyFill="1" applyBorder="1" applyAlignment="1" applyProtection="1">
      <alignment horizontal="left" vertical="center"/>
      <protection locked="0"/>
    </xf>
    <xf numFmtId="0" fontId="0" fillId="0" borderId="218" xfId="0" applyBorder="1" applyAlignment="1">
      <alignment vertical="top" wrapText="1"/>
    </xf>
    <xf numFmtId="0" fontId="0" fillId="0" borderId="219" xfId="0" applyBorder="1"/>
    <xf numFmtId="0" fontId="0" fillId="0" borderId="219"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2" fillId="0" borderId="135" xfId="7" applyNumberFormat="1" applyFont="1" applyBorder="1" applyAlignment="1">
      <alignment horizontal="center" vertical="center"/>
    </xf>
    <xf numFmtId="0" fontId="10" fillId="2" borderId="165" xfId="0" applyFont="1" applyFill="1" applyBorder="1" applyAlignment="1">
      <alignment horizontal="center" vertical="center"/>
    </xf>
    <xf numFmtId="0" fontId="13"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9"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175" fontId="2" fillId="0" borderId="0" xfId="77" applyNumberFormat="1" applyFont="1"/>
    <xf numFmtId="0" fontId="0" fillId="0" borderId="165" xfId="0" applyBorder="1" applyAlignment="1">
      <alignment horizontal="center" vertical="top"/>
    </xf>
    <xf numFmtId="178" fontId="4"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10" fillId="54" borderId="0" xfId="0" applyFont="1" applyFill="1"/>
    <xf numFmtId="0" fontId="0" fillId="54" borderId="6" xfId="0" applyFill="1" applyBorder="1" applyAlignment="1">
      <alignment horizontal="center" vertical="center" wrapText="1"/>
    </xf>
    <xf numFmtId="0" fontId="10" fillId="54" borderId="0" xfId="51698" applyFont="1" applyFill="1"/>
    <xf numFmtId="0" fontId="9" fillId="54" borderId="0" xfId="51698" applyFont="1" applyFill="1"/>
    <xf numFmtId="10" fontId="0" fillId="54" borderId="6" xfId="83" applyNumberFormat="1" applyFont="1" applyFill="1" applyBorder="1"/>
    <xf numFmtId="10" fontId="9" fillId="54" borderId="6" xfId="83" applyNumberFormat="1" applyFont="1" applyFill="1" applyBorder="1" applyProtection="1"/>
    <xf numFmtId="0" fontId="12" fillId="54" borderId="0" xfId="51700" applyFont="1" applyFill="1"/>
    <xf numFmtId="0" fontId="9" fillId="54" borderId="0" xfId="51701" applyFill="1"/>
    <xf numFmtId="0" fontId="12" fillId="54" borderId="0" xfId="85" applyFont="1" applyFill="1" applyProtection="1">
      <protection locked="0"/>
    </xf>
    <xf numFmtId="0" fontId="12" fillId="54" borderId="0" xfId="85" applyFont="1" applyFill="1" applyAlignment="1">
      <alignment horizontal="left" indent="1"/>
    </xf>
    <xf numFmtId="10" fontId="9" fillId="0" borderId="6" xfId="83" applyNumberFormat="1" applyFont="1" applyFill="1" applyBorder="1" applyProtection="1"/>
    <xf numFmtId="357" fontId="39" fillId="0" borderId="6" xfId="51703" applyNumberFormat="1" applyFont="1" applyFill="1" applyBorder="1" applyAlignment="1">
      <alignment vertical="center"/>
    </xf>
    <xf numFmtId="0" fontId="12" fillId="0" borderId="6" xfId="0" applyFont="1" applyFill="1" applyBorder="1" applyProtection="1">
      <protection locked="0"/>
    </xf>
    <xf numFmtId="0" fontId="12" fillId="0" borderId="6" xfId="0" applyFont="1" applyBorder="1" applyProtection="1">
      <protection locked="0"/>
    </xf>
    <xf numFmtId="0" fontId="0" fillId="3" borderId="0" xfId="0" applyFill="1" applyAlignment="1" applyProtection="1">
      <alignment horizontal="left" vertical="top" indent="1"/>
      <protection locked="0"/>
    </xf>
    <xf numFmtId="177" fontId="9" fillId="131" borderId="63" xfId="75" applyNumberFormat="1" applyFill="1" applyBorder="1" applyAlignment="1" applyProtection="1">
      <alignment horizontal="right" vertical="top"/>
      <protection locked="0"/>
    </xf>
    <xf numFmtId="177" fontId="9" fillId="3" borderId="63" xfId="75" applyNumberFormat="1" applyFill="1" applyBorder="1" applyAlignment="1" applyProtection="1">
      <alignment horizontal="right" vertical="top"/>
      <protection locked="0"/>
    </xf>
    <xf numFmtId="0" fontId="9" fillId="3" borderId="0" xfId="75" applyFill="1" applyAlignment="1" applyProtection="1">
      <alignment horizontal="left" vertical="top" indent="1"/>
      <protection locked="0"/>
    </xf>
    <xf numFmtId="177" fontId="9" fillId="3" borderId="59" xfId="75" applyNumberFormat="1" applyFill="1" applyBorder="1" applyAlignment="1" applyProtection="1">
      <alignment horizontal="right" vertical="top"/>
      <protection locked="0"/>
    </xf>
    <xf numFmtId="177" fontId="9" fillId="3" borderId="62" xfId="75" applyNumberFormat="1" applyFill="1" applyBorder="1" applyAlignment="1" applyProtection="1">
      <alignment horizontal="right" vertical="top"/>
      <protection locked="0"/>
    </xf>
    <xf numFmtId="177" fontId="9" fillId="3" borderId="65" xfId="75" applyNumberFormat="1" applyFill="1" applyBorder="1" applyAlignment="1" applyProtection="1">
      <alignment horizontal="right" vertical="top"/>
      <protection locked="0"/>
    </xf>
    <xf numFmtId="177" fontId="9" fillId="3" borderId="66" xfId="75" applyNumberFormat="1" applyFill="1" applyBorder="1" applyAlignment="1" applyProtection="1">
      <alignment horizontal="right" vertical="top"/>
      <protection locked="0"/>
    </xf>
    <xf numFmtId="177" fontId="9" fillId="3" borderId="60" xfId="75" applyNumberFormat="1" applyFill="1" applyBorder="1" applyAlignment="1" applyProtection="1">
      <alignment horizontal="right" vertical="top"/>
      <protection locked="0"/>
    </xf>
    <xf numFmtId="177" fontId="9" fillId="3" borderId="68" xfId="75" applyNumberFormat="1" applyFill="1" applyBorder="1" applyAlignment="1" applyProtection="1">
      <alignment horizontal="right" vertical="top"/>
      <protection locked="0"/>
    </xf>
    <xf numFmtId="177" fontId="9" fillId="3" borderId="69" xfId="75" applyNumberFormat="1" applyFill="1" applyBorder="1" applyAlignment="1" applyProtection="1">
      <alignment horizontal="right" vertical="top"/>
      <protection locked="0"/>
    </xf>
    <xf numFmtId="177" fontId="9" fillId="3" borderId="6" xfId="75" applyNumberFormat="1" applyFill="1" applyBorder="1" applyAlignment="1" applyProtection="1">
      <alignment horizontal="right" vertical="top"/>
      <protection locked="0"/>
    </xf>
    <xf numFmtId="177" fontId="9" fillId="131" borderId="69" xfId="75" applyNumberFormat="1" applyFill="1" applyBorder="1" applyAlignment="1" applyProtection="1">
      <alignment horizontal="right" vertical="top"/>
      <protection locked="0"/>
    </xf>
    <xf numFmtId="177" fontId="9" fillId="131" borderId="59" xfId="75" applyNumberFormat="1" applyFill="1" applyBorder="1" applyAlignment="1" applyProtection="1">
      <alignment horizontal="right" vertical="top"/>
      <protection locked="0"/>
    </xf>
    <xf numFmtId="177" fontId="9" fillId="131" borderId="62" xfId="75" applyNumberFormat="1" applyFill="1" applyBorder="1" applyAlignment="1" applyProtection="1">
      <alignment horizontal="right" vertical="top"/>
      <protection locked="0"/>
    </xf>
    <xf numFmtId="177" fontId="9" fillId="3" borderId="71" xfId="51696" quotePrefix="1" applyNumberFormat="1" applyFill="1" applyBorder="1" applyProtection="1">
      <alignment vertical="center"/>
      <protection locked="0"/>
    </xf>
    <xf numFmtId="0" fontId="12" fillId="143" borderId="220" xfId="0" applyFont="1" applyFill="1" applyBorder="1"/>
    <xf numFmtId="0" fontId="12" fillId="143" borderId="221" xfId="0" applyFont="1" applyFill="1" applyBorder="1"/>
    <xf numFmtId="0" fontId="12" fillId="143" borderId="0" xfId="0" applyFont="1" applyFill="1"/>
    <xf numFmtId="177" fontId="9" fillId="141" borderId="62" xfId="95" applyNumberFormat="1" applyFill="1" applyBorder="1" applyAlignment="1" applyProtection="1">
      <alignment vertical="center"/>
      <protection locked="0"/>
    </xf>
    <xf numFmtId="178" fontId="284" fillId="101" borderId="6" xfId="75" applyNumberFormat="1" applyFont="1" applyFill="1" applyBorder="1" applyAlignment="1" applyProtection="1">
      <alignment horizontal="center" vertical="center"/>
      <protection locked="0"/>
    </xf>
    <xf numFmtId="0" fontId="4" fillId="101" borderId="6" xfId="51694" applyFill="1" applyBorder="1" applyAlignment="1" applyProtection="1">
      <alignment vertical="center" wrapText="1"/>
      <protection locked="0"/>
    </xf>
    <xf numFmtId="0" fontId="1" fillId="0" borderId="6" xfId="51694" applyFont="1" applyBorder="1" applyAlignment="1" applyProtection="1">
      <alignment vertical="center" wrapText="1"/>
      <protection locked="0"/>
    </xf>
    <xf numFmtId="177" fontId="9" fillId="3" borderId="71" xfId="75" applyNumberFormat="1" applyFill="1" applyBorder="1" applyAlignment="1" applyProtection="1">
      <alignment horizontal="right" vertical="center"/>
      <protection locked="0"/>
    </xf>
    <xf numFmtId="0" fontId="9" fillId="3" borderId="166" xfId="75" applyFill="1" applyBorder="1" applyAlignment="1">
      <alignment vertical="top"/>
    </xf>
    <xf numFmtId="0" fontId="9" fillId="3" borderId="130" xfId="75" applyFill="1" applyBorder="1" applyAlignment="1" applyProtection="1">
      <alignment vertical="top" wrapText="1"/>
      <protection locked="0"/>
    </xf>
    <xf numFmtId="0" fontId="9" fillId="3" borderId="130" xfId="75" applyFill="1" applyBorder="1" applyAlignment="1" applyProtection="1">
      <alignment wrapText="1"/>
      <protection locked="0"/>
    </xf>
    <xf numFmtId="0" fontId="9" fillId="3" borderId="167" xfId="75" applyFill="1" applyBorder="1" applyAlignment="1" applyProtection="1">
      <alignment wrapText="1"/>
      <protection locked="0"/>
    </xf>
    <xf numFmtId="0" fontId="9" fillId="3" borderId="180" xfId="75" applyFill="1" applyBorder="1" applyAlignment="1">
      <alignment horizontal="left"/>
    </xf>
    <xf numFmtId="0" fontId="9" fillId="3" borderId="0" xfId="75" applyFill="1" applyAlignment="1" applyProtection="1">
      <alignment horizontal="left"/>
      <protection locked="0"/>
    </xf>
    <xf numFmtId="0" fontId="9" fillId="3" borderId="0" xfId="75" applyFill="1" applyAlignment="1" applyProtection="1">
      <alignment horizontal="center" vertical="center"/>
      <protection locked="0"/>
    </xf>
    <xf numFmtId="0" fontId="9" fillId="3" borderId="0" xfId="75" applyFill="1" applyProtection="1">
      <protection locked="0"/>
    </xf>
    <xf numFmtId="0" fontId="9" fillId="3" borderId="11" xfId="75" applyFill="1" applyBorder="1" applyProtection="1">
      <protection locked="0"/>
    </xf>
    <xf numFmtId="0" fontId="9" fillId="3" borderId="180" xfId="75" applyFill="1" applyBorder="1" applyAlignment="1" applyProtection="1">
      <alignment horizontal="left"/>
      <protection locked="0"/>
    </xf>
    <xf numFmtId="177" fontId="9" fillId="0" borderId="6" xfId="75" applyNumberFormat="1" applyBorder="1" applyAlignment="1" applyProtection="1">
      <alignment horizontal="right" vertical="top"/>
      <protection locked="0"/>
    </xf>
    <xf numFmtId="177" fontId="9" fillId="52" borderId="6" xfId="75" applyNumberFormat="1" applyFill="1" applyBorder="1" applyAlignment="1">
      <alignment horizontal="right" vertical="top"/>
    </xf>
    <xf numFmtId="0" fontId="0" fillId="0" borderId="0" xfId="0" applyAlignment="1">
      <alignment horizontal="center"/>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5" xfId="0" applyBorder="1" applyAlignment="1">
      <alignment horizontal="left" vertical="center" wrapText="1"/>
    </xf>
    <xf numFmtId="1" fontId="10" fillId="0" borderId="196" xfId="0" applyNumberFormat="1" applyFont="1" applyBorder="1" applyAlignment="1">
      <alignment horizontal="center" vertical="center"/>
    </xf>
    <xf numFmtId="1" fontId="10" fillId="0" borderId="197" xfId="0" applyNumberFormat="1" applyFont="1" applyBorder="1" applyAlignment="1">
      <alignment horizontal="center" vertical="center"/>
    </xf>
    <xf numFmtId="1" fontId="10" fillId="0" borderId="198" xfId="0" applyNumberFormat="1" applyFont="1" applyBorder="1" applyAlignment="1">
      <alignment horizontal="center" vertical="center"/>
    </xf>
    <xf numFmtId="1" fontId="10" fillId="0" borderId="210" xfId="0" applyNumberFormat="1" applyFont="1" applyBorder="1" applyAlignment="1">
      <alignment horizontal="center" vertical="center"/>
    </xf>
    <xf numFmtId="1" fontId="10" fillId="0" borderId="211"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0" fontId="0" fillId="0" borderId="0" xfId="0" applyAlignment="1">
      <alignment horizont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12" fillId="36" borderId="6" xfId="75" applyFont="1" applyFill="1" applyBorder="1" applyAlignment="1">
      <alignment horizontal="left" vertical="top" wrapText="1"/>
    </xf>
    <xf numFmtId="0" fontId="0" fillId="0" borderId="6" xfId="0" applyBorder="1" applyAlignment="1">
      <alignment horizontal="left" vertical="top" wrapText="1"/>
    </xf>
    <xf numFmtId="0" fontId="35"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9" fillId="42" borderId="135" xfId="78" applyFont="1" applyFill="1" applyBorder="1" applyAlignment="1" applyProtection="1">
      <alignment horizontal="center" vertical="center"/>
      <protection locked="0"/>
    </xf>
    <xf numFmtId="0" fontId="9" fillId="42" borderId="28" xfId="78" applyFont="1" applyFill="1" applyBorder="1" applyAlignment="1" applyProtection="1">
      <alignment horizontal="center" vertical="center"/>
      <protection locked="0"/>
    </xf>
    <xf numFmtId="0" fontId="9" fillId="42" borderId="138" xfId="78" applyFont="1" applyFill="1" applyBorder="1" applyAlignment="1" applyProtection="1">
      <alignment horizontal="center" vertical="center"/>
      <protection locked="0"/>
    </xf>
    <xf numFmtId="0" fontId="9" fillId="0" borderId="135" xfId="78" applyFont="1" applyBorder="1" applyAlignment="1" applyProtection="1">
      <alignment horizontal="center" vertical="center"/>
      <protection locked="0"/>
    </xf>
    <xf numFmtId="0" fontId="9" fillId="0" borderId="28" xfId="78" applyFont="1" applyBorder="1" applyAlignment="1" applyProtection="1">
      <alignment horizontal="center" vertical="center"/>
      <protection locked="0"/>
    </xf>
    <xf numFmtId="0" fontId="9" fillId="0" borderId="130" xfId="78" applyFont="1" applyBorder="1" applyAlignment="1" applyProtection="1">
      <alignment horizontal="center" vertical="center"/>
      <protection locked="0"/>
    </xf>
    <xf numFmtId="0" fontId="9" fillId="0" borderId="138" xfId="78" applyFont="1" applyBorder="1" applyAlignment="1" applyProtection="1">
      <alignment horizontal="center" vertical="center"/>
      <protection locked="0"/>
    </xf>
    <xf numFmtId="0" fontId="12" fillId="0" borderId="0" xfId="85" applyFont="1" applyAlignment="1">
      <alignment horizontal="left" vertical="center" wrapText="1"/>
    </xf>
    <xf numFmtId="0" fontId="13" fillId="0" borderId="0" xfId="85" applyFont="1" applyAlignment="1">
      <alignment horizontal="left" vertical="center" wrapText="1"/>
    </xf>
    <xf numFmtId="173" fontId="12" fillId="3" borderId="100" xfId="0" applyNumberFormat="1" applyFont="1" applyFill="1" applyBorder="1" applyAlignment="1" applyProtection="1">
      <alignment horizontal="left" vertical="center" indent="1"/>
      <protection locked="0"/>
    </xf>
    <xf numFmtId="173" fontId="12" fillId="3" borderId="101" xfId="0" applyNumberFormat="1" applyFont="1" applyFill="1" applyBorder="1" applyAlignment="1" applyProtection="1">
      <alignment horizontal="left" vertical="center" indent="1"/>
      <protection locked="0"/>
    </xf>
    <xf numFmtId="173" fontId="12" fillId="3" borderId="95" xfId="0" applyNumberFormat="1" applyFont="1" applyFill="1" applyBorder="1" applyAlignment="1" applyProtection="1">
      <alignment horizontal="left" vertical="center" indent="1"/>
      <protection locked="0"/>
    </xf>
    <xf numFmtId="173" fontId="12" fillId="3" borderId="62" xfId="0" applyNumberFormat="1" applyFont="1" applyFill="1" applyBorder="1" applyAlignment="1" applyProtection="1">
      <alignment horizontal="left" vertical="center" indent="1"/>
      <protection locked="0"/>
    </xf>
    <xf numFmtId="173" fontId="12" fillId="3" borderId="63" xfId="0" applyNumberFormat="1" applyFont="1" applyFill="1" applyBorder="1" applyAlignment="1" applyProtection="1">
      <alignment horizontal="left" vertical="center" indent="1"/>
      <protection locked="0"/>
    </xf>
    <xf numFmtId="173" fontId="12" fillId="3" borderId="64" xfId="0" applyNumberFormat="1" applyFont="1" applyFill="1" applyBorder="1" applyAlignment="1" applyProtection="1">
      <alignment horizontal="left" vertical="center" indent="1"/>
      <protection locked="0"/>
    </xf>
    <xf numFmtId="173" fontId="12" fillId="3" borderId="65" xfId="0" applyNumberFormat="1" applyFont="1" applyFill="1" applyBorder="1" applyAlignment="1" applyProtection="1">
      <alignment horizontal="left" vertical="center" indent="1"/>
      <protection locked="0"/>
    </xf>
    <xf numFmtId="173" fontId="12" fillId="3" borderId="66" xfId="0" applyNumberFormat="1" applyFont="1" applyFill="1" applyBorder="1" applyAlignment="1" applyProtection="1">
      <alignment horizontal="left" vertical="center" indent="1"/>
      <protection locked="0"/>
    </xf>
    <xf numFmtId="173" fontId="12" fillId="3" borderId="67" xfId="0" applyNumberFormat="1" applyFont="1" applyFill="1" applyBorder="1" applyAlignment="1" applyProtection="1">
      <alignment horizontal="left" vertical="center" indent="1"/>
      <protection locked="0"/>
    </xf>
    <xf numFmtId="0" fontId="12" fillId="3" borderId="59" xfId="85" applyFont="1" applyFill="1" applyBorder="1" applyAlignment="1" applyProtection="1">
      <alignment horizontal="left" vertical="top" wrapText="1" indent="1"/>
      <protection locked="0"/>
    </xf>
    <xf numFmtId="0" fontId="12" fillId="3" borderId="60" xfId="85" applyFont="1" applyFill="1" applyBorder="1" applyAlignment="1" applyProtection="1">
      <alignment horizontal="left" vertical="top" wrapText="1" indent="1"/>
      <protection locked="0"/>
    </xf>
    <xf numFmtId="0" fontId="12" fillId="3" borderId="61" xfId="85" applyFont="1" applyFill="1" applyBorder="1" applyAlignment="1" applyProtection="1">
      <alignment horizontal="left" vertical="top" wrapText="1" indent="1"/>
      <protection locked="0"/>
    </xf>
    <xf numFmtId="0" fontId="9" fillId="42" borderId="135" xfId="78" applyFont="1" applyFill="1" applyBorder="1" applyAlignment="1">
      <alignment horizontal="center" vertical="center"/>
    </xf>
    <xf numFmtId="0" fontId="9" fillId="42" borderId="28" xfId="78" applyFont="1" applyFill="1" applyBorder="1" applyAlignment="1">
      <alignment horizontal="center" vertical="center"/>
    </xf>
    <xf numFmtId="0" fontId="9" fillId="42" borderId="138" xfId="78" applyFont="1" applyFill="1" applyBorder="1" applyAlignment="1">
      <alignment horizontal="center" vertical="center"/>
    </xf>
    <xf numFmtId="0" fontId="9" fillId="0" borderId="135" xfId="78" applyFont="1" applyBorder="1" applyAlignment="1">
      <alignment horizontal="center" vertical="center"/>
    </xf>
    <xf numFmtId="0" fontId="9" fillId="0" borderId="28" xfId="78" applyFont="1" applyBorder="1" applyAlignment="1">
      <alignment horizontal="center" vertical="center"/>
    </xf>
    <xf numFmtId="0" fontId="9" fillId="0" borderId="138" xfId="78" applyFont="1" applyBorder="1" applyAlignment="1">
      <alignment horizontal="center" vertical="center"/>
    </xf>
    <xf numFmtId="0" fontId="249" fillId="116" borderId="0" xfId="0" applyFont="1" applyFill="1" applyAlignment="1" applyProtection="1">
      <alignment horizontal="left" vertical="top" wrapText="1"/>
      <protection locked="0"/>
    </xf>
    <xf numFmtId="0" fontId="283" fillId="135" borderId="165" xfId="51694" applyFont="1" applyFill="1" applyBorder="1" applyAlignment="1" applyProtection="1">
      <alignment horizontal="center" vertical="center" wrapText="1"/>
      <protection locked="0"/>
    </xf>
    <xf numFmtId="0" fontId="283" fillId="135" borderId="120" xfId="51694" applyFont="1" applyFill="1" applyBorder="1" applyAlignment="1" applyProtection="1">
      <alignment horizontal="center" vertical="center" wrapText="1"/>
      <protection locked="0"/>
    </xf>
    <xf numFmtId="0" fontId="4" fillId="0" borderId="135" xfId="51694" applyBorder="1" applyAlignment="1" applyProtection="1">
      <alignment horizontal="left"/>
      <protection locked="0"/>
    </xf>
    <xf numFmtId="0" fontId="4" fillId="0" borderId="138" xfId="51694" applyBorder="1" applyAlignment="1" applyProtection="1">
      <alignment horizontal="left"/>
      <protection locked="0"/>
    </xf>
    <xf numFmtId="0" fontId="286" fillId="0" borderId="180" xfId="51694" applyFont="1" applyBorder="1" applyAlignment="1" applyProtection="1">
      <alignment horizontal="left" vertical="center"/>
      <protection locked="0"/>
    </xf>
    <xf numFmtId="0" fontId="286" fillId="0" borderId="11" xfId="51694" applyFont="1" applyBorder="1" applyAlignment="1" applyProtection="1">
      <alignment horizontal="left" vertical="center"/>
      <protection locked="0"/>
    </xf>
    <xf numFmtId="0" fontId="249" fillId="116" borderId="142" xfId="0" applyFont="1" applyFill="1" applyBorder="1" applyAlignment="1" applyProtection="1">
      <alignment horizontal="left" vertical="top" wrapText="1"/>
      <protection locked="0"/>
    </xf>
    <xf numFmtId="0" fontId="283" fillId="135" borderId="130" xfId="51694" applyFont="1" applyFill="1" applyBorder="1" applyAlignment="1" applyProtection="1">
      <alignment horizontal="center" vertical="center" wrapText="1"/>
      <protection locked="0"/>
    </xf>
    <xf numFmtId="0" fontId="283" fillId="135" borderId="167" xfId="51694" applyFont="1" applyFill="1" applyBorder="1" applyAlignment="1" applyProtection="1">
      <alignment horizontal="center" vertical="center" wrapText="1"/>
      <protection locked="0"/>
    </xf>
    <xf numFmtId="0" fontId="283" fillId="135" borderId="142" xfId="51694" applyFont="1" applyFill="1" applyBorder="1" applyAlignment="1" applyProtection="1">
      <alignment horizontal="center" vertical="center" wrapText="1"/>
      <protection locked="0"/>
    </xf>
    <xf numFmtId="0" fontId="283" fillId="135" borderId="90" xfId="51694" applyFont="1" applyFill="1" applyBorder="1" applyAlignment="1" applyProtection="1">
      <alignment horizontal="center" vertical="center" wrapText="1"/>
      <protection locked="0"/>
    </xf>
    <xf numFmtId="0" fontId="285" fillId="135" borderId="165" xfId="51694" applyFont="1" applyFill="1" applyBorder="1" applyAlignment="1" applyProtection="1">
      <alignment horizontal="center" vertical="center" wrapText="1"/>
      <protection locked="0"/>
    </xf>
    <xf numFmtId="0" fontId="285" fillId="135" borderId="120" xfId="51694" applyFont="1" applyFill="1" applyBorder="1" applyAlignment="1" applyProtection="1">
      <alignment horizontal="center" vertical="center" wrapText="1"/>
      <protection locked="0"/>
    </xf>
    <xf numFmtId="178" fontId="284" fillId="0" borderId="6" xfId="51694" applyNumberFormat="1"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6" fillId="0" borderId="89" xfId="51694" applyFont="1" applyBorder="1" applyAlignment="1" applyProtection="1">
      <alignment horizontal="left" vertical="center"/>
      <protection locked="0"/>
    </xf>
    <xf numFmtId="0" fontId="286" fillId="0" borderId="90" xfId="51694" applyFont="1" applyBorder="1" applyAlignment="1" applyProtection="1">
      <alignment horizontal="left" vertical="center"/>
      <protection locked="0"/>
    </xf>
    <xf numFmtId="0" fontId="4" fillId="0" borderId="180" xfId="51694" applyBorder="1" applyAlignment="1" applyProtection="1">
      <alignment horizontal="center"/>
      <protection locked="0"/>
    </xf>
    <xf numFmtId="0" fontId="4" fillId="0" borderId="11" xfId="51694" applyBorder="1" applyAlignment="1" applyProtection="1">
      <alignment horizontal="center"/>
      <protection locked="0"/>
    </xf>
    <xf numFmtId="0" fontId="283" fillId="52" borderId="135" xfId="51694" applyFont="1" applyFill="1" applyBorder="1" applyAlignment="1" applyProtection="1">
      <alignment horizontal="left" vertical="center"/>
      <protection locked="0"/>
    </xf>
    <xf numFmtId="0" fontId="283" fillId="52" borderId="138" xfId="51694" applyFont="1" applyFill="1" applyBorder="1" applyAlignment="1" applyProtection="1">
      <alignment horizontal="left" vertical="center"/>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34">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persons/person.xml><?xml version="1.0" encoding="utf-8"?>
<personList xmlns="http://schemas.microsoft.com/office/spreadsheetml/2018/threadedcomments" xmlns:x="http://schemas.openxmlformats.org/spreadsheetml/2006/main">
  <person displayName="Rutherford, Alexander" id="{DF18D60F-4774-4DFF-9D27-A50A3ACD3D1B}" userId="S::Alexander.Rutherford@sgn.co.uk::3b5b57f2-e54e-4c20-97f4-9722e918c52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72" dT="2024-08-30T13:58:58.63" personId="{DF18D60F-4774-4DFF-9D27-A50A3ACD3D1B}" id="{027ECD0B-A22E-43B3-9BF3-CF692EA249D6}">
    <text>For memo: £29m 2022, £86m 2023 and £111m 2024.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sqref="A1:XFD1"/>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364" customFormat="1" ht="56.9" customHeight="1"/>
    <row r="2" spans="1:10" ht="20">
      <c r="A2" s="128" t="s">
        <v>0</v>
      </c>
      <c r="B2" s="129"/>
      <c r="C2" s="129"/>
      <c r="D2" s="130"/>
      <c r="E2" s="131"/>
      <c r="F2" s="129"/>
      <c r="G2" s="132"/>
      <c r="H2" s="129"/>
      <c r="I2" s="129"/>
    </row>
    <row r="3" spans="1:10" ht="20">
      <c r="A3" s="128" t="str">
        <f>Licensee</f>
        <v>SGN - Southern</v>
      </c>
      <c r="B3" s="129"/>
      <c r="C3" s="129"/>
      <c r="D3" s="131"/>
      <c r="E3" s="131"/>
      <c r="F3" s="129"/>
      <c r="G3" s="132"/>
      <c r="H3" s="129"/>
      <c r="I3" s="129"/>
    </row>
    <row r="4" spans="1:10" ht="20">
      <c r="A4" s="128" t="s">
        <v>1</v>
      </c>
      <c r="B4" s="129"/>
      <c r="C4" s="129"/>
      <c r="D4" s="131"/>
      <c r="E4" s="131"/>
      <c r="F4" s="129"/>
      <c r="G4" s="132"/>
      <c r="H4" s="129"/>
      <c r="I4" s="129"/>
    </row>
    <row r="5" spans="1:10" ht="20">
      <c r="A5" s="196"/>
      <c r="B5" s="197"/>
      <c r="C5" s="197"/>
      <c r="D5" s="198"/>
      <c r="E5" s="198"/>
      <c r="F5" s="197"/>
      <c r="G5" s="334"/>
      <c r="H5" s="197"/>
      <c r="I5" s="197"/>
    </row>
    <row r="6" spans="1:10" ht="14">
      <c r="A6" s="7"/>
      <c r="B6" s="231" t="s">
        <v>2</v>
      </c>
      <c r="C6" s="238" cm="1">
        <f t="array" ref="C6">INDEX(Data!$E$63:'Data'!$E$91,MATCH(Licensee,Data!$B$63:$B$91,0),0)</f>
        <v>2022</v>
      </c>
      <c r="D6" s="198"/>
      <c r="E6" s="198"/>
      <c r="H6" s="335"/>
    </row>
    <row r="7" spans="1:10" ht="13.5" customHeight="1">
      <c r="A7" s="7"/>
      <c r="B7" s="231" t="s">
        <v>3</v>
      </c>
      <c r="C7" s="232" t="s">
        <v>86</v>
      </c>
      <c r="D7" s="198"/>
      <c r="E7" s="198"/>
      <c r="F7" s="233"/>
      <c r="G7" s="336" t="s">
        <v>5</v>
      </c>
      <c r="H7" s="335"/>
    </row>
    <row r="8" spans="1:10" ht="13.5" customHeight="1">
      <c r="A8" s="7"/>
      <c r="B8" s="231" t="s">
        <v>6</v>
      </c>
      <c r="C8" s="1246" t="str">
        <f>INDEX(Data!$A$63:$A$91,MATCH($C$7,Data!$B$63:$B$91,0),0)&amp;"2"</f>
        <v>GD2</v>
      </c>
      <c r="D8" s="198"/>
      <c r="E8" s="198"/>
      <c r="F8" s="235"/>
      <c r="G8" s="336" t="s">
        <v>7</v>
      </c>
      <c r="H8" s="335"/>
    </row>
    <row r="9" spans="1:10" ht="27">
      <c r="A9" s="7"/>
      <c r="B9" s="236" t="s">
        <v>8</v>
      </c>
      <c r="C9" s="237">
        <v>2024</v>
      </c>
      <c r="D9" s="198"/>
      <c r="E9" s="198"/>
      <c r="F9" s="238"/>
      <c r="G9" s="337" t="s">
        <v>9</v>
      </c>
      <c r="H9" s="335"/>
    </row>
    <row r="10" spans="1:10" ht="14">
      <c r="A10" s="7"/>
      <c r="B10" s="231" t="s">
        <v>10</v>
      </c>
      <c r="C10" s="237"/>
      <c r="D10" s="198"/>
      <c r="E10" s="198"/>
      <c r="F10" s="239"/>
      <c r="G10" s="336" t="s">
        <v>11</v>
      </c>
      <c r="H10" s="335"/>
    </row>
    <row r="11" spans="1:10" ht="14">
      <c r="A11" s="7"/>
      <c r="B11" s="231" t="s">
        <v>12</v>
      </c>
      <c r="C11" s="240"/>
      <c r="D11" s="198"/>
      <c r="E11" s="198"/>
      <c r="F11" s="241"/>
      <c r="G11" s="336" t="s">
        <v>13</v>
      </c>
      <c r="H11" s="335"/>
    </row>
    <row r="12" spans="1:10" ht="14">
      <c r="A12" s="7"/>
      <c r="D12" s="198"/>
      <c r="E12" s="198"/>
      <c r="F12" s="242"/>
      <c r="G12" s="336" t="s">
        <v>14</v>
      </c>
      <c r="H12" s="335"/>
    </row>
    <row r="13" spans="1:10" ht="14">
      <c r="A13" s="7"/>
      <c r="D13" s="198"/>
      <c r="E13" s="198"/>
      <c r="F13" s="243"/>
      <c r="G13" s="336" t="s">
        <v>15</v>
      </c>
      <c r="H13" s="335"/>
    </row>
    <row r="14" spans="1:10">
      <c r="A14" s="7"/>
      <c r="D14" s="198"/>
      <c r="E14" s="198"/>
      <c r="F14" s="2"/>
      <c r="G14" s="338"/>
    </row>
    <row r="15" spans="1:10">
      <c r="C15" s="198"/>
      <c r="F15" s="198"/>
      <c r="G15"/>
      <c r="H15" s="198"/>
      <c r="J15" s="198"/>
    </row>
    <row r="16" spans="1:10">
      <c r="C16" s="198"/>
      <c r="F16" s="198"/>
      <c r="G16"/>
      <c r="H16" s="198"/>
      <c r="J16" s="198"/>
    </row>
    <row r="17" spans="3:10">
      <c r="C17" s="198"/>
      <c r="F17" s="198"/>
      <c r="G17"/>
      <c r="H17" s="198"/>
      <c r="J17" s="198"/>
    </row>
    <row r="18" spans="3:10">
      <c r="C18" s="198"/>
      <c r="F18" s="198"/>
      <c r="G18"/>
      <c r="H18" s="198"/>
      <c r="J18" s="198"/>
    </row>
    <row r="19" spans="3:10">
      <c r="C19" s="198"/>
      <c r="F19" s="198"/>
      <c r="G19"/>
      <c r="H19" s="198"/>
      <c r="J19" s="198"/>
    </row>
    <row r="20" spans="3:10">
      <c r="C20" s="198"/>
      <c r="F20" s="198"/>
      <c r="G20"/>
      <c r="H20" s="198"/>
      <c r="J20" s="198"/>
    </row>
    <row r="21" spans="3:10">
      <c r="J21" s="198"/>
    </row>
    <row r="22" spans="3:10">
      <c r="C22" s="198"/>
      <c r="F22" s="198"/>
      <c r="G22"/>
      <c r="H22" s="198"/>
      <c r="J22" s="198"/>
    </row>
    <row r="23" spans="3:10">
      <c r="C23" s="198"/>
      <c r="F23" s="198"/>
      <c r="G23"/>
      <c r="H23" s="198"/>
      <c r="J23" s="198"/>
    </row>
    <row r="24" spans="3:10">
      <c r="C24" s="198"/>
      <c r="F24" s="198"/>
      <c r="G24"/>
      <c r="H24" s="198"/>
      <c r="J24" s="198"/>
    </row>
    <row r="25" spans="3:10">
      <c r="C25" s="198"/>
      <c r="F25" s="198"/>
      <c r="G25"/>
      <c r="H25" s="198"/>
      <c r="J25" s="198"/>
    </row>
    <row r="26" spans="3:10">
      <c r="C26" s="198"/>
      <c r="F26" s="198"/>
      <c r="G26"/>
      <c r="H26" s="198"/>
      <c r="J26" s="198"/>
    </row>
    <row r="27" spans="3:10">
      <c r="C27" s="198"/>
      <c r="F27" s="198"/>
      <c r="G27"/>
      <c r="H27" s="198"/>
      <c r="J27" s="198"/>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Normal="100" workbookViewId="0"/>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79" t="s">
        <v>16</v>
      </c>
      <c r="B1" s="359"/>
      <c r="C1" s="359"/>
      <c r="D1" s="359"/>
      <c r="E1" s="359"/>
      <c r="F1" s="359"/>
      <c r="G1" s="359"/>
      <c r="H1" s="359"/>
      <c r="I1" s="359"/>
      <c r="J1" s="359"/>
      <c r="K1" s="359"/>
      <c r="L1" s="359"/>
      <c r="M1" s="359"/>
      <c r="N1" s="280"/>
    </row>
    <row r="2" spans="1:14" ht="20">
      <c r="A2" s="339" t="str">
        <f>Licensee</f>
        <v>SGN - Southern</v>
      </c>
      <c r="B2" s="131"/>
      <c r="C2" s="131"/>
      <c r="D2" s="131"/>
      <c r="E2" s="131"/>
      <c r="F2" s="131"/>
      <c r="G2" s="131"/>
      <c r="H2" s="131"/>
      <c r="I2" s="131"/>
      <c r="J2" s="131"/>
      <c r="K2" s="131"/>
      <c r="L2" s="131"/>
      <c r="M2" s="131"/>
      <c r="N2" s="133"/>
    </row>
    <row r="3" spans="1:14" ht="20">
      <c r="A3" s="128">
        <f>Reporting_Year</f>
        <v>2024</v>
      </c>
      <c r="B3" s="244"/>
      <c r="C3" s="244"/>
      <c r="D3" s="244"/>
      <c r="E3" s="244"/>
      <c r="F3" s="244"/>
      <c r="G3" s="244"/>
      <c r="H3" s="244"/>
      <c r="I3" s="244"/>
      <c r="J3" s="244"/>
      <c r="K3" s="244"/>
      <c r="L3" s="244"/>
      <c r="M3" s="244"/>
      <c r="N3" s="134"/>
    </row>
    <row r="6" spans="1:14">
      <c r="B6" s="231" t="s">
        <v>17</v>
      </c>
      <c r="C6" s="247">
        <f>INDEX(O63:U91,MATCH(Licensee,Data!B63:B91,0),MATCH(Reporting_Year,Data!O62:U62,0))</f>
        <v>5.2833943999999994E-2</v>
      </c>
      <c r="F6" s="1315" t="s">
        <v>18</v>
      </c>
      <c r="G6" s="34"/>
      <c r="H6" s="224" t="s">
        <v>19</v>
      </c>
      <c r="I6" s="246" t="s">
        <v>20</v>
      </c>
    </row>
    <row r="7" spans="1:14">
      <c r="B7" s="231" t="s">
        <v>21</v>
      </c>
      <c r="C7" s="247">
        <f>SUMIF(Data!$B$62:$B$91,'RFPR cover'!C7,Data!$C$62:$C$91)</f>
        <v>0.5</v>
      </c>
      <c r="F7" s="248">
        <v>0.1</v>
      </c>
      <c r="G7" s="86"/>
      <c r="H7" s="224" t="s">
        <v>22</v>
      </c>
      <c r="I7" s="225" t="s">
        <v>23</v>
      </c>
    </row>
    <row r="8" spans="1:14">
      <c r="B8" s="231" t="s">
        <v>24</v>
      </c>
      <c r="C8" s="245">
        <f>SUMIF(Data!$B$62:$B$91,'RFPR cover'!C7,Data!$D$62:$D$91)</f>
        <v>0.6</v>
      </c>
      <c r="H8" s="224" t="s">
        <v>25</v>
      </c>
      <c r="I8" s="225" t="s">
        <v>23</v>
      </c>
    </row>
    <row r="9" spans="1:14">
      <c r="B9" s="170" t="s">
        <v>26</v>
      </c>
      <c r="C9" s="234" t="str">
        <f>INDEX(Data!$F$63:$F$91,MATCH('RFPR cover'!$C$7,Data!$B$63:$B$91,0),0)</f>
        <v>£m 18/19</v>
      </c>
      <c r="H9" s="224" t="s">
        <v>27</v>
      </c>
      <c r="I9" s="225" t="s">
        <v>23</v>
      </c>
    </row>
    <row r="10" spans="1:14">
      <c r="B10" s="170" t="s">
        <v>28</v>
      </c>
      <c r="C10" s="326">
        <f>INDEX(Data!$M$315:$S$343,MATCH('RFPR cover'!$C$7,Data!$L$315:$L$343,0),MATCH('R8a - Tax Reconciliation'!$B$6,Data!$M$314:$S$314,0))</f>
        <v>10.075002829337917</v>
      </c>
      <c r="H10" s="224" t="s">
        <v>29</v>
      </c>
      <c r="I10" s="225" t="s">
        <v>23</v>
      </c>
    </row>
    <row r="11" spans="1:14">
      <c r="B11" s="170" t="s">
        <v>30</v>
      </c>
      <c r="C11" s="326">
        <f>INDEX(Data!$M$350:$S$378,MATCH('RFPR cover'!$C$7,Data!$L$350:$L$378,0),MATCH('R8a - Tax Reconciliation'!$B$6,Data!$M$349:$S$349,0))</f>
        <v>2.3632722686101286</v>
      </c>
      <c r="H11" s="151"/>
      <c r="I11" s="323"/>
    </row>
    <row r="13" spans="1:14">
      <c r="A13" s="7"/>
      <c r="B13" s="249" t="s">
        <v>31</v>
      </c>
      <c r="C13" s="195">
        <v>0.19</v>
      </c>
      <c r="D13" s="265">
        <v>0.19</v>
      </c>
      <c r="E13" s="265">
        <v>0.19</v>
      </c>
      <c r="F13" s="265">
        <v>0.19</v>
      </c>
      <c r="G13" s="195">
        <v>0.19</v>
      </c>
      <c r="H13" s="195">
        <v>0.25</v>
      </c>
      <c r="I13" s="195">
        <v>0.25</v>
      </c>
      <c r="J13" s="195">
        <v>0.25</v>
      </c>
      <c r="K13" s="194">
        <v>0.25</v>
      </c>
      <c r="L13" s="194">
        <v>0.25</v>
      </c>
      <c r="M13" s="194">
        <v>0.25</v>
      </c>
      <c r="N13" s="194">
        <v>0.25</v>
      </c>
    </row>
    <row r="15" spans="1:14">
      <c r="A15" s="1" t="s">
        <v>32</v>
      </c>
      <c r="B15" s="1314" t="s">
        <v>33</v>
      </c>
    </row>
    <row r="16" spans="1:14">
      <c r="B16" s="249" t="s">
        <v>34</v>
      </c>
      <c r="C16" s="250" t="str">
        <f t="shared" ref="C16:N16" si="0">IF(VALUE(C18)&lt;=Reporting_Year,"Actual","Forecast")</f>
        <v>Actual</v>
      </c>
      <c r="D16" s="250" t="str">
        <f t="shared" si="0"/>
        <v>Actual</v>
      </c>
      <c r="E16" s="250" t="str">
        <f t="shared" si="0"/>
        <v>Actual</v>
      </c>
      <c r="F16" s="250" t="str">
        <f t="shared" si="0"/>
        <v>Actual</v>
      </c>
      <c r="G16" s="250" t="str">
        <f t="shared" si="0"/>
        <v>Actual</v>
      </c>
      <c r="H16" s="250" t="str">
        <f t="shared" si="0"/>
        <v>Actual</v>
      </c>
      <c r="I16" s="250" t="str">
        <f t="shared" si="0"/>
        <v>Forecast</v>
      </c>
      <c r="J16" s="250" t="str">
        <f t="shared" si="0"/>
        <v>Forecast</v>
      </c>
      <c r="K16" s="250" t="str">
        <f t="shared" si="0"/>
        <v>Forecast</v>
      </c>
      <c r="L16" s="250" t="str">
        <f t="shared" si="0"/>
        <v>Forecast</v>
      </c>
      <c r="M16" s="250" t="str">
        <f t="shared" si="0"/>
        <v>Forecast</v>
      </c>
      <c r="N16" s="250" t="str">
        <f t="shared" si="0"/>
        <v>Forecast</v>
      </c>
    </row>
    <row r="17" spans="1:22">
      <c r="B17" s="249" t="s">
        <v>35</v>
      </c>
      <c r="C17" s="251">
        <v>43555</v>
      </c>
      <c r="D17" s="252">
        <v>43921</v>
      </c>
      <c r="E17" s="252">
        <v>44286</v>
      </c>
      <c r="F17" s="252">
        <v>44651</v>
      </c>
      <c r="G17" s="252">
        <v>45016</v>
      </c>
      <c r="H17" s="251">
        <v>45382</v>
      </c>
      <c r="I17" s="251">
        <v>45747</v>
      </c>
      <c r="J17" s="251">
        <v>46112</v>
      </c>
      <c r="K17" s="251">
        <v>46477</v>
      </c>
      <c r="L17" s="251">
        <v>46843</v>
      </c>
      <c r="M17" s="251">
        <v>47208</v>
      </c>
      <c r="N17" s="251">
        <v>47573</v>
      </c>
    </row>
    <row r="18" spans="1:22">
      <c r="B18" s="249" t="s">
        <v>36</v>
      </c>
      <c r="C18" s="253">
        <v>2019</v>
      </c>
      <c r="D18" s="254">
        <v>2020</v>
      </c>
      <c r="E18" s="253">
        <v>2021</v>
      </c>
      <c r="F18" s="254">
        <v>2022</v>
      </c>
      <c r="G18" s="253">
        <v>2023</v>
      </c>
      <c r="H18" s="254">
        <v>2024</v>
      </c>
      <c r="I18" s="253">
        <v>2025</v>
      </c>
      <c r="J18" s="254">
        <v>2026</v>
      </c>
      <c r="K18" s="253">
        <v>2027</v>
      </c>
      <c r="L18" s="254">
        <v>2028</v>
      </c>
      <c r="M18" s="253">
        <v>2029</v>
      </c>
      <c r="N18" s="254">
        <v>2030</v>
      </c>
    </row>
    <row r="19" spans="1:22">
      <c r="B19" s="255" t="s">
        <v>37</v>
      </c>
      <c r="C19" s="317">
        <v>283.30833333333334</v>
      </c>
      <c r="D19" s="318">
        <v>290.64166666666665</v>
      </c>
      <c r="E19" s="318">
        <v>294.16666666666669</v>
      </c>
      <c r="F19" s="318">
        <v>307.32821397646848</v>
      </c>
      <c r="G19" s="318">
        <v>334.29358180068937</v>
      </c>
      <c r="H19" s="318">
        <v>352.83651735739545</v>
      </c>
      <c r="I19" s="318">
        <v>360.97742810857477</v>
      </c>
      <c r="J19" s="318">
        <v>366.52764714368323</v>
      </c>
      <c r="K19" s="333">
        <f t="shared" ref="K19:N21" si="1">J19*(1+K$22)</f>
        <v>373.85820008655691</v>
      </c>
      <c r="L19" s="333">
        <f t="shared" si="1"/>
        <v>381.33536408828803</v>
      </c>
      <c r="M19" s="333">
        <f t="shared" si="1"/>
        <v>388.96207137005382</v>
      </c>
      <c r="N19" s="333">
        <f t="shared" si="1"/>
        <v>396.7413127974549</v>
      </c>
      <c r="O19" s="1254"/>
    </row>
    <row r="20" spans="1:22">
      <c r="B20" s="255" t="s">
        <v>38</v>
      </c>
      <c r="C20" s="317">
        <v>286.64999999999998</v>
      </c>
      <c r="D20" s="318">
        <v>292.60000000000002</v>
      </c>
      <c r="E20" s="318">
        <v>298.42363263445759</v>
      </c>
      <c r="F20" s="318">
        <v>319.91658048382931</v>
      </c>
      <c r="G20" s="318">
        <v>346.54233410371501</v>
      </c>
      <c r="H20" s="318">
        <v>357.86889631512634</v>
      </c>
      <c r="I20" s="318">
        <v>363.68027567809611</v>
      </c>
      <c r="J20" s="318">
        <v>369.23294542844485</v>
      </c>
      <c r="K20" s="333">
        <f t="shared" si="1"/>
        <v>376.61760433701374</v>
      </c>
      <c r="L20" s="333">
        <f t="shared" si="1"/>
        <v>384.14995642375402</v>
      </c>
      <c r="M20" s="333">
        <f t="shared" si="1"/>
        <v>391.83295555222912</v>
      </c>
      <c r="N20" s="333">
        <f t="shared" si="1"/>
        <v>399.66961466327371</v>
      </c>
      <c r="O20" s="1254"/>
    </row>
    <row r="21" spans="1:22">
      <c r="A21" s="7"/>
      <c r="B21" s="145" t="s">
        <v>39</v>
      </c>
      <c r="C21" s="319">
        <v>106.43333333333334</v>
      </c>
      <c r="D21" s="319">
        <v>108.24166666666663</v>
      </c>
      <c r="E21" s="319">
        <v>109.10833333333335</v>
      </c>
      <c r="F21" s="319">
        <v>113.11666666666667</v>
      </c>
      <c r="G21" s="319">
        <v>123.04166666666664</v>
      </c>
      <c r="H21" s="319">
        <v>129.86666666666665</v>
      </c>
      <c r="I21" s="319">
        <v>132.86304853440734</v>
      </c>
      <c r="J21" s="319">
        <v>134.90588823466803</v>
      </c>
      <c r="K21" s="333">
        <f t="shared" si="1"/>
        <v>137.60400599936139</v>
      </c>
      <c r="L21" s="333">
        <f t="shared" si="1"/>
        <v>140.35608611934862</v>
      </c>
      <c r="M21" s="333">
        <f t="shared" si="1"/>
        <v>143.16320784173558</v>
      </c>
      <c r="N21" s="333">
        <f t="shared" si="1"/>
        <v>146.02647199857029</v>
      </c>
      <c r="O21" s="1254"/>
      <c r="U21" s="142"/>
      <c r="V21" s="142"/>
    </row>
    <row r="22" spans="1:22" ht="16">
      <c r="A22" s="7"/>
      <c r="B22" s="249" t="s">
        <v>40</v>
      </c>
      <c r="C22" s="145"/>
      <c r="D22" s="145"/>
      <c r="E22" s="145"/>
      <c r="F22" s="145"/>
      <c r="G22" s="145"/>
      <c r="H22" s="146"/>
      <c r="I22" s="145"/>
      <c r="J22" s="145"/>
      <c r="K22" s="195">
        <v>0.02</v>
      </c>
      <c r="L22" s="195">
        <v>0.02</v>
      </c>
      <c r="M22" s="195">
        <v>0.02</v>
      </c>
      <c r="N22" s="195">
        <v>0.02</v>
      </c>
      <c r="O22" s="157" t="s">
        <v>41</v>
      </c>
      <c r="U22" s="142"/>
      <c r="V22" s="142"/>
    </row>
    <row r="23" spans="1:22" ht="16">
      <c r="A23" s="7"/>
      <c r="H23" s="144"/>
      <c r="K23" s="1257"/>
      <c r="L23" s="1257"/>
      <c r="M23" s="1257"/>
      <c r="N23" s="1257"/>
      <c r="O23" s="157"/>
      <c r="U23" s="142"/>
      <c r="V23" s="142"/>
    </row>
    <row r="24" spans="1:22">
      <c r="A24" s="1258" t="s">
        <v>42</v>
      </c>
      <c r="B24" s="1314" t="s">
        <v>43</v>
      </c>
      <c r="U24" s="142"/>
      <c r="V24" s="142"/>
    </row>
    <row r="25" spans="1:22">
      <c r="A25" s="7"/>
      <c r="B25" s="249" t="s">
        <v>34</v>
      </c>
      <c r="C25" s="250" t="str">
        <f t="shared" ref="C25:N25" si="2">IF(VALUE(C27)&lt;=Reporting_Year,"Actual","Forecast")</f>
        <v>Actual</v>
      </c>
      <c r="D25" s="250" t="str">
        <f t="shared" si="2"/>
        <v>Actual</v>
      </c>
      <c r="E25" s="250" t="str">
        <f t="shared" si="2"/>
        <v>Actual</v>
      </c>
      <c r="F25" s="250" t="str">
        <f t="shared" si="2"/>
        <v>Actual</v>
      </c>
      <c r="G25" s="250" t="str">
        <f t="shared" si="2"/>
        <v>Actual</v>
      </c>
      <c r="H25" s="250" t="str">
        <f t="shared" si="2"/>
        <v>Actual</v>
      </c>
      <c r="I25" s="250" t="str">
        <f t="shared" si="2"/>
        <v>Forecast</v>
      </c>
      <c r="J25" s="250" t="str">
        <f t="shared" si="2"/>
        <v>Forecast</v>
      </c>
      <c r="K25" s="250" t="str">
        <f t="shared" si="2"/>
        <v>Forecast</v>
      </c>
      <c r="L25" s="250" t="str">
        <f t="shared" si="2"/>
        <v>Forecast</v>
      </c>
      <c r="M25" s="250" t="str">
        <f t="shared" si="2"/>
        <v>Forecast</v>
      </c>
      <c r="N25" s="250" t="str">
        <f t="shared" si="2"/>
        <v>Forecast</v>
      </c>
      <c r="U25" s="142"/>
      <c r="V25" s="142"/>
    </row>
    <row r="26" spans="1:22">
      <c r="A26" s="7"/>
      <c r="B26" s="249" t="s">
        <v>35</v>
      </c>
      <c r="C26" s="251">
        <v>43555</v>
      </c>
      <c r="D26" s="252">
        <v>43921</v>
      </c>
      <c r="E26" s="252">
        <v>44286</v>
      </c>
      <c r="F26" s="252">
        <v>44651</v>
      </c>
      <c r="G26" s="252">
        <v>45016</v>
      </c>
      <c r="H26" s="251">
        <v>45382</v>
      </c>
      <c r="I26" s="251">
        <v>45747</v>
      </c>
      <c r="J26" s="251">
        <v>46112</v>
      </c>
      <c r="K26" s="251">
        <v>46477</v>
      </c>
      <c r="L26" s="251">
        <v>46843</v>
      </c>
      <c r="M26" s="251">
        <v>47208</v>
      </c>
      <c r="N26" s="251">
        <v>47573</v>
      </c>
      <c r="U26" s="142"/>
      <c r="V26" s="142"/>
    </row>
    <row r="27" spans="1:22">
      <c r="A27" s="7"/>
      <c r="B27" s="249" t="s">
        <v>36</v>
      </c>
      <c r="C27" s="253">
        <v>2019</v>
      </c>
      <c r="D27" s="254">
        <v>2020</v>
      </c>
      <c r="E27" s="253">
        <v>2021</v>
      </c>
      <c r="F27" s="254">
        <v>2022</v>
      </c>
      <c r="G27" s="253">
        <v>2023</v>
      </c>
      <c r="H27" s="254">
        <v>2024</v>
      </c>
      <c r="I27" s="253">
        <v>2025</v>
      </c>
      <c r="J27" s="254">
        <v>2026</v>
      </c>
      <c r="K27" s="1289">
        <v>2027</v>
      </c>
      <c r="L27" s="1290">
        <v>2028</v>
      </c>
      <c r="M27" s="1289">
        <v>2029</v>
      </c>
      <c r="N27" s="1290">
        <v>2030</v>
      </c>
      <c r="U27" s="142"/>
      <c r="V27" s="142"/>
    </row>
    <row r="28" spans="1:22">
      <c r="A28" s="7"/>
      <c r="B28" s="255" t="s">
        <v>37</v>
      </c>
      <c r="C28" s="317">
        <v>283.30833333333334</v>
      </c>
      <c r="D28" s="318">
        <v>290.64166666666665</v>
      </c>
      <c r="E28" s="318">
        <v>294.16666666666669</v>
      </c>
      <c r="F28" s="318">
        <v>311.1583333333333</v>
      </c>
      <c r="G28" s="318">
        <v>351.2166666666667</v>
      </c>
      <c r="H28" s="318">
        <v>376.71650221738128</v>
      </c>
      <c r="I28" s="318">
        <v>385.40839002428197</v>
      </c>
      <c r="J28" s="1288">
        <v>391.33424803100451</v>
      </c>
      <c r="K28" s="1291">
        <v>398.0456355005802</v>
      </c>
      <c r="L28" s="1292">
        <v>405.76023501973924</v>
      </c>
      <c r="M28" s="1293">
        <f t="shared" ref="M28:M29" si="3">L28*(1+M$22)</f>
        <v>413.87543972013401</v>
      </c>
      <c r="N28" s="1293">
        <f t="shared" ref="N28:N29" si="4">M28*(1+N$22)</f>
        <v>422.15294851453672</v>
      </c>
      <c r="O28" s="1254"/>
      <c r="U28" s="142"/>
      <c r="V28" s="142"/>
    </row>
    <row r="29" spans="1:22">
      <c r="A29" s="7"/>
      <c r="B29" s="249" t="s">
        <v>38</v>
      </c>
      <c r="C29" s="317">
        <v>286.64999999999998</v>
      </c>
      <c r="D29" s="318">
        <v>292.60000000000002</v>
      </c>
      <c r="E29" s="318">
        <v>299</v>
      </c>
      <c r="F29" s="318">
        <v>329.05</v>
      </c>
      <c r="G29" s="318">
        <v>369.68596214511041</v>
      </c>
      <c r="H29" s="318">
        <v>382.08947271654415</v>
      </c>
      <c r="I29" s="318">
        <v>388.29416638904945</v>
      </c>
      <c r="J29" s="1288">
        <v>394.48785735339231</v>
      </c>
      <c r="K29" s="1291">
        <v>401.81615050280811</v>
      </c>
      <c r="L29" s="1292">
        <v>409.44663376493384</v>
      </c>
      <c r="M29" s="1293">
        <f t="shared" si="3"/>
        <v>417.63556644023254</v>
      </c>
      <c r="N29" s="1293">
        <f t="shared" si="4"/>
        <v>425.98827776903721</v>
      </c>
      <c r="O29" s="1254"/>
      <c r="U29" s="142"/>
      <c r="V29" s="142"/>
    </row>
    <row r="31" spans="1:22" ht="14.25" customHeight="1">
      <c r="B31" s="1314" t="s">
        <v>44</v>
      </c>
      <c r="M31" s="10"/>
    </row>
    <row r="32" spans="1:22" ht="48.65" customHeight="1">
      <c r="E32" s="250" t="str">
        <f>IF(E33&lt;='RFPR cover'!$C$9,"Actuals","Forecast")</f>
        <v>Actuals</v>
      </c>
      <c r="F32" s="250" t="str">
        <f>IF(F33&lt;='RFPR cover'!$C$9,"Actuals","Forecast")</f>
        <v>Actuals</v>
      </c>
      <c r="G32" s="250" t="str">
        <f>IF(G33&lt;='RFPR cover'!$C$9,"Actuals","Forecast")</f>
        <v>Actuals</v>
      </c>
      <c r="H32" s="250" t="str">
        <f>IF(H33&lt;='RFPR cover'!$C$9,"Actuals","Forecast")</f>
        <v>Actuals</v>
      </c>
      <c r="I32" s="250" t="str">
        <f>IF(I33&lt;='RFPR cover'!$C$9,"Actuals","Forecast")</f>
        <v>Forecast</v>
      </c>
      <c r="J32" s="250" t="str">
        <f>IF(J33&lt;='RFPR cover'!$C$9,"Actuals","Forecast")</f>
        <v>Forecast</v>
      </c>
      <c r="K32" s="250" t="str">
        <f>IF(K33&lt;='RFPR cover'!$C$9,"Actuals","Forecast")</f>
        <v>Forecast</v>
      </c>
      <c r="L32" s="250" t="str">
        <f>IF(L33&lt;='RFPR cover'!$C$9,"Actuals","Forecast")</f>
        <v>Forecast</v>
      </c>
      <c r="M32" s="151"/>
      <c r="N32" s="377"/>
      <c r="O32" s="377"/>
      <c r="P32" s="377"/>
      <c r="Q32" s="377"/>
      <c r="R32" s="377"/>
      <c r="S32" s="377"/>
    </row>
    <row r="33" spans="1:23" ht="58.5" customHeight="1">
      <c r="E33" s="171">
        <v>2021</v>
      </c>
      <c r="F33" s="172">
        <f t="shared" ref="F33:L33" si="5">E33+1</f>
        <v>2022</v>
      </c>
      <c r="G33" s="172">
        <f t="shared" si="5"/>
        <v>2023</v>
      </c>
      <c r="H33" s="172">
        <f t="shared" si="5"/>
        <v>2024</v>
      </c>
      <c r="I33" s="172">
        <f t="shared" si="5"/>
        <v>2025</v>
      </c>
      <c r="J33" s="172">
        <f t="shared" si="5"/>
        <v>2026</v>
      </c>
      <c r="K33" s="172">
        <f t="shared" si="5"/>
        <v>2027</v>
      </c>
      <c r="L33" s="172">
        <f t="shared" si="5"/>
        <v>2028</v>
      </c>
      <c r="M33" s="151"/>
    </row>
    <row r="34" spans="1:23" ht="71.150000000000006" customHeight="1">
      <c r="A34" s="141"/>
      <c r="D34" s="256" t="s">
        <v>45</v>
      </c>
      <c r="E34" s="1273">
        <f>IF(SectorCov="ED2",E28/INDEX($C$28:$N$28,MATCH($E$27,$C$27:$N$27,0)),E19/INDEX($C$19:$N$19,MATCH($C$18,$C$18:$N$18,0)))</f>
        <v>1.0383269111980469</v>
      </c>
      <c r="F34" s="1273">
        <f t="shared" ref="F34:L34" si="6">IF(SectorCov="ED2",F28/INDEX($C$28:$N$28,MATCH($E$27,$C$27:$N$27,0)),F19/INDEX($C$19:$N$19,MATCH($C$18,$C$18:$N$18,0)))</f>
        <v>1.0847835302284383</v>
      </c>
      <c r="G34" s="1273">
        <f t="shared" si="6"/>
        <v>1.1799638149272795</v>
      </c>
      <c r="H34" s="1273">
        <f t="shared" si="6"/>
        <v>1.2454152449594804</v>
      </c>
      <c r="I34" s="1273">
        <f t="shared" si="6"/>
        <v>1.2741504065955518</v>
      </c>
      <c r="J34" s="1273">
        <f t="shared" si="6"/>
        <v>1.2937411435491952</v>
      </c>
      <c r="K34" s="1273">
        <f t="shared" si="6"/>
        <v>1.319615966420179</v>
      </c>
      <c r="L34" s="1273">
        <f t="shared" si="6"/>
        <v>1.3460082857485827</v>
      </c>
      <c r="M34" s="1259"/>
    </row>
    <row r="35" spans="1:23" ht="40.5">
      <c r="A35" s="141"/>
      <c r="B35" s="141"/>
      <c r="C35" s="141"/>
      <c r="D35" s="159" t="s">
        <v>46</v>
      </c>
      <c r="E35" s="1273">
        <f>IF(Sector="ED2",INDEX(Data!$C$28:$N$28,MATCH(E$33,Data!$C$27:$N$27,0))/INDEX(Data!$C$28:$N$28,MATCH(E$33-1,Data!$C$27:$N$27,0)),INDEX(Data!$C$19:$N$19,MATCH(E$33,Data!$C$18:$N$18,0))/INDEX(Data!$C$19:$N$19,MATCH(E$33-1,Data!$C$18:$N$18,0)))</f>
        <v>1.0121283367262093</v>
      </c>
      <c r="F35" s="1273">
        <f>IF(Sector="ED2",INDEX(Data!$C$28:$N$28,MATCH(F$33,Data!$C$27:$N$27,0))/INDEX(Data!$C$28:$N$28,MATCH(F$33-1,Data!$C$27:$N$27,0)),INDEX(Data!$C$19:$N$19,MATCH(F$33,Data!$C$18:$N$18,0))/INDEX(Data!$C$19:$N$19,MATCH(F$33-1,Data!$C$18:$N$18,0)))</f>
        <v>1.0447418038860117</v>
      </c>
      <c r="G35" s="1273">
        <f>IF(Sector="ED2",INDEX(Data!$C$28:$N$28,MATCH(G$33,Data!$C$27:$N$27,0))/INDEX(Data!$C$28:$N$28,MATCH(G$33-1,Data!$C$27:$N$27,0)),INDEX(Data!$C$19:$N$19,MATCH(G$33,Data!$C$18:$N$18,0))/INDEX(Data!$C$19:$N$19,MATCH(G$33-1,Data!$C$18:$N$18,0)))</f>
        <v>1.0877412700751437</v>
      </c>
      <c r="H35" s="1273">
        <f>IF(Sector="ED2",INDEX(Data!$C$28:$N$28,MATCH(H$33,Data!$C$27:$N$27,0))/INDEX(Data!$C$28:$N$28,MATCH(H$33-1,Data!$C$27:$N$27,0)),INDEX(Data!$C$19:$N$19,MATCH(H$33,Data!$C$18:$N$18,0))/INDEX(Data!$C$19:$N$19,MATCH(H$33-1,Data!$C$18:$N$18,0)))</f>
        <v>1.0554690145614631</v>
      </c>
      <c r="I35" s="1273">
        <f>IF(Sector="ED2",INDEX(Data!$C$28:$N$28,MATCH(I$33,Data!$C$27:$N$27,0))/INDEX(Data!$C$28:$N$28,MATCH(I$33-1,Data!$C$27:$N$27,0)),INDEX(Data!$C$19:$N$19,MATCH(I$33,Data!$C$18:$N$18,0))/INDEX(Data!$C$19:$N$19,MATCH(I$33-1,Data!$C$18:$N$18,0)))</f>
        <v>1.0230727556550878</v>
      </c>
      <c r="J35" s="1273">
        <f>IF(Sector="ED2",INDEX(Data!$C$28:$N$28,MATCH(J$33,Data!$C$27:$N$27,0))/INDEX(Data!$C$28:$N$28,MATCH(J$33-1,Data!$C$27:$N$27,0)),INDEX(Data!$C$19:$N$19,MATCH(J$33,Data!$C$18:$N$18,0))/INDEX(Data!$C$19:$N$19,MATCH(J$33-1,Data!$C$18:$N$18,0)))</f>
        <v>1.0153755293348676</v>
      </c>
      <c r="K35" s="1273">
        <f>IF(Sector="ED2",INDEX(Data!$C$28:$N$28,MATCH(K$33,Data!$C$27:$N$27,0))/INDEX(Data!$C$28:$N$28,MATCH(K$33-1,Data!$C$27:$N$27,0)),INDEX(Data!$C$19:$N$19,MATCH(K$33,Data!$C$18:$N$18,0))/INDEX(Data!$C$19:$N$19,MATCH(K$33-1,Data!$C$18:$N$18,0)))</f>
        <v>1.02</v>
      </c>
      <c r="L35" s="1273">
        <f>IF(Sector="ED2",INDEX(Data!$C$28:$N$28,MATCH(L$33,Data!$C$27:$N$27,0))/INDEX(Data!$C$28:$N$28,MATCH(L$33-1,Data!$C$27:$N$27,0)),INDEX(Data!$C$19:$N$19,MATCH(L$33,Data!$C$18:$N$18,0))/INDEX(Data!$C$19:$N$19,MATCH(L$33-1,Data!$C$18:$N$18,0)))</f>
        <v>1.02</v>
      </c>
      <c r="M35" s="151"/>
      <c r="N35" s="144"/>
      <c r="O35" s="144"/>
      <c r="P35" s="144"/>
      <c r="Q35" s="144"/>
      <c r="R35" s="144"/>
      <c r="S35" s="144"/>
      <c r="T35" s="144"/>
      <c r="U35" s="144"/>
      <c r="V35" s="144"/>
      <c r="W35" s="144"/>
    </row>
    <row r="36" spans="1:23" ht="67.5">
      <c r="A36" s="141"/>
      <c r="D36" s="159" t="s">
        <v>47</v>
      </c>
      <c r="E36" s="1273">
        <f>IF(SectorCov="ED2",INDEX(Data!$C$29:$N$29,MATCH(E$33,Data!$C$27:$N$27,0))/Data!$E$28,INDEX(Data!$C$20:$N$20,MATCH(E$33,Data!$C$18:$N$18,0))/Data!$C$19)</f>
        <v>1.0533528227824487</v>
      </c>
      <c r="F36" s="1273">
        <f>IF(SectorCov="ED2",INDEX(Data!$C$29:$N$29,MATCH(F$33,Data!$C$27:$N$27,0))/Data!$E$28,INDEX(Data!$C$20:$N$20,MATCH(F$33,Data!$C$18:$N$18,0))/Data!$C$19)</f>
        <v>1.1292169796764278</v>
      </c>
      <c r="G36" s="1273">
        <f>IF(SectorCov="ED2",INDEX(Data!$C$29:$N$29,MATCH(G$33,Data!$C$27:$N$27,0))/Data!$E$28,INDEX(Data!$C$20:$N$20,MATCH(G$33,Data!$C$18:$N$18,0))/Data!$C$19)</f>
        <v>1.2231985202354856</v>
      </c>
      <c r="H36" s="1273">
        <f>IF(SectorCov="ED2",INDEX(Data!$C$29:$N$29,MATCH(H$33,Data!$C$27:$N$27,0))/Data!$E$28,INDEX(Data!$C$20:$N$20,MATCH(H$33,Data!$C$18:$N$18,0))/Data!$C$19)</f>
        <v>1.2631781497724845</v>
      </c>
      <c r="I36" s="1273">
        <f>IF(SectorCov="ED2",INDEX(Data!$C$29:$N$29,MATCH(I$33,Data!$C$27:$N$27,0))/Data!$E$28,INDEX(Data!$C$20:$N$20,MATCH(I$33,Data!$C$18:$N$18,0))/Data!$C$19)</f>
        <v>1.2836907103971389</v>
      </c>
      <c r="J36" s="1273">
        <f>IF(SectorCov="ED2",INDEX(Data!$C$29:$N$29,MATCH(J$33,Data!$C$27:$N$27,0))/Data!$E$28,INDEX(Data!$C$20:$N$20,MATCH(J$33,Data!$C$18:$N$18,0))/Data!$C$19)</f>
        <v>1.3032900976972492</v>
      </c>
      <c r="K36" s="1273">
        <f>IF(SectorCov="ED2",INDEX(Data!$C$29:$N$29,MATCH(K$33,Data!$C$27:$N$27,0))/Data!$E$28,INDEX(Data!$C$20:$N$20,MATCH(K$33,Data!$C$18:$N$18,0))/Data!$C$19)</f>
        <v>1.3293558996511943</v>
      </c>
      <c r="L36" s="1273">
        <f>IF(SectorCov="ED2",INDEX(Data!$C$29:$N$29,MATCH(L$33,Data!$C$27:$N$27,0))/Data!$E$28,INDEX(Data!$C$20:$N$20,MATCH(L$33,Data!$C$18:$N$18,0))/Data!$C$19)</f>
        <v>1.355943017644218</v>
      </c>
      <c r="M36" s="151"/>
    </row>
    <row r="37" spans="1:23" ht="54" customHeight="1">
      <c r="A37" s="141"/>
      <c r="B37" s="1416" t="s">
        <v>48</v>
      </c>
      <c r="C37" s="1416"/>
      <c r="D37" s="1416"/>
      <c r="E37" s="1416"/>
      <c r="F37" s="1416"/>
      <c r="G37" s="1416"/>
      <c r="H37" s="1416"/>
      <c r="I37" s="1416"/>
      <c r="J37" s="1416"/>
      <c r="K37" s="1416"/>
      <c r="L37" s="1416"/>
      <c r="M37" s="1416"/>
      <c r="N37" s="1416"/>
      <c r="O37" s="1416"/>
      <c r="P37" s="1416"/>
      <c r="Q37" s="37"/>
    </row>
    <row r="38" spans="1:23">
      <c r="B38" s="120"/>
      <c r="C38" s="141"/>
      <c r="D38" s="141"/>
      <c r="E38" s="141"/>
      <c r="F38" s="141"/>
      <c r="G38" s="141"/>
      <c r="H38" s="141"/>
      <c r="I38" s="141"/>
      <c r="J38" s="141"/>
    </row>
    <row r="39" spans="1:23">
      <c r="B39" s="62"/>
      <c r="C39" s="62"/>
      <c r="D39" s="38"/>
      <c r="E39" s="62"/>
      <c r="F39" s="63"/>
      <c r="G39" s="64"/>
      <c r="H39" s="64"/>
      <c r="I39" s="64"/>
      <c r="J39" s="65"/>
      <c r="K39" s="65"/>
      <c r="L39" s="38"/>
      <c r="M39" s="38"/>
      <c r="N39" s="38"/>
      <c r="O39" s="38"/>
      <c r="P39" s="38"/>
      <c r="Q39" s="38"/>
      <c r="R39" s="38"/>
      <c r="S39" s="38"/>
      <c r="T39" s="38"/>
    </row>
    <row r="40" spans="1:23">
      <c r="B40" s="61" t="s">
        <v>49</v>
      </c>
      <c r="C40" s="34"/>
      <c r="I40" s="14"/>
    </row>
    <row r="41" spans="1:23">
      <c r="C41" s="171">
        <v>2022</v>
      </c>
      <c r="D41" s="172">
        <f t="shared" ref="D41" si="7">C41+1</f>
        <v>2023</v>
      </c>
      <c r="E41" s="172">
        <f t="shared" ref="E41" si="8">D41+1</f>
        <v>2024</v>
      </c>
      <c r="F41" s="172">
        <f t="shared" ref="F41" si="9">E41+1</f>
        <v>2025</v>
      </c>
      <c r="G41" s="172">
        <f t="shared" ref="G41" si="10">F41+1</f>
        <v>2026</v>
      </c>
      <c r="H41" s="172">
        <f t="shared" ref="H41" si="11">G41+1</f>
        <v>2027</v>
      </c>
      <c r="I41" s="172">
        <f t="shared" ref="I41" si="12">H41+1</f>
        <v>2028</v>
      </c>
    </row>
    <row r="42" spans="1:23">
      <c r="B42" s="169" t="s">
        <v>50</v>
      </c>
      <c r="C42" s="160"/>
      <c r="D42" s="161"/>
      <c r="E42" s="153">
        <v>3.04E-2</v>
      </c>
      <c r="F42" s="153">
        <v>3.1099999999999999E-2</v>
      </c>
      <c r="G42" s="153">
        <v>3.1699999999999999E-2</v>
      </c>
      <c r="H42" s="153">
        <v>3.1800000000000002E-2</v>
      </c>
      <c r="I42" s="154">
        <v>3.2000000000000001E-2</v>
      </c>
      <c r="J42" s="1254"/>
    </row>
    <row r="43" spans="1:23">
      <c r="B43" s="1240" t="s">
        <v>51</v>
      </c>
      <c r="C43" s="1241"/>
      <c r="D43" s="1242"/>
      <c r="E43" s="1243">
        <v>3.04E-2</v>
      </c>
      <c r="F43" s="1243">
        <v>3.1099999999999999E-2</v>
      </c>
      <c r="G43" s="1243">
        <v>3.1699999999999999E-2</v>
      </c>
      <c r="H43" s="1243">
        <v>3.1800000000000002E-2</v>
      </c>
      <c r="I43" s="1244">
        <v>3.2000000000000001E-2</v>
      </c>
      <c r="J43" s="1254"/>
    </row>
    <row r="44" spans="1:23">
      <c r="B44" s="1240" t="s">
        <v>52</v>
      </c>
      <c r="C44" s="1241"/>
      <c r="D44" s="1242"/>
      <c r="E44" s="1243">
        <v>3.04E-2</v>
      </c>
      <c r="F44" s="1243">
        <v>3.1099999999999999E-2</v>
      </c>
      <c r="G44" s="1243">
        <v>3.1699999999999999E-2</v>
      </c>
      <c r="H44" s="1243">
        <v>3.1800000000000002E-2</v>
      </c>
      <c r="I44" s="1244">
        <v>3.2000000000000001E-2</v>
      </c>
      <c r="J44" s="1254"/>
    </row>
    <row r="45" spans="1:23">
      <c r="A45" s="147"/>
      <c r="B45" s="163" t="s">
        <v>53</v>
      </c>
      <c r="C45" s="162"/>
      <c r="D45" s="87"/>
      <c r="E45" s="155">
        <v>3.1E-2</v>
      </c>
      <c r="F45" s="155">
        <v>3.1699999999999999E-2</v>
      </c>
      <c r="G45" s="155">
        <v>3.2300000000000002E-2</v>
      </c>
      <c r="H45" s="155">
        <v>3.2399999999999998E-2</v>
      </c>
      <c r="I45" s="60">
        <v>3.2599999999999997E-2</v>
      </c>
      <c r="J45" s="1254"/>
    </row>
    <row r="46" spans="1:23">
      <c r="A46" s="147"/>
      <c r="B46" s="163" t="s">
        <v>54</v>
      </c>
      <c r="C46" s="163">
        <v>1.8184707641684131E-2</v>
      </c>
      <c r="D46" s="155">
        <v>1.5809503423148775E-2</v>
      </c>
      <c r="E46" s="155">
        <v>1.8000565597912722E-2</v>
      </c>
      <c r="F46" s="155">
        <v>2.3276186478151731E-2</v>
      </c>
      <c r="G46" s="155">
        <v>2.7418061040625063E-2</v>
      </c>
      <c r="H46" s="87"/>
      <c r="I46" s="164"/>
      <c r="J46" s="1254"/>
    </row>
    <row r="47" spans="1:23">
      <c r="A47" s="148"/>
      <c r="B47" s="163" t="s">
        <v>55</v>
      </c>
      <c r="C47" s="163">
        <v>2.0500000000000001E-2</v>
      </c>
      <c r="D47" s="155">
        <v>1.9E-2</v>
      </c>
      <c r="E47" s="155">
        <v>1.9199999999999998E-2</v>
      </c>
      <c r="F47" s="155">
        <v>2.1100000000000001E-2</v>
      </c>
      <c r="G47" s="155">
        <v>2.29E-2</v>
      </c>
      <c r="H47" s="87"/>
      <c r="I47" s="164"/>
      <c r="J47" s="1254"/>
      <c r="N47" s="135"/>
      <c r="O47" s="135"/>
      <c r="P47" s="135"/>
      <c r="Q47" s="135"/>
      <c r="R47" s="135"/>
    </row>
    <row r="48" spans="1:23">
      <c r="A48" s="147"/>
      <c r="B48" s="163" t="s">
        <v>25</v>
      </c>
      <c r="C48" s="163">
        <v>2.0500000000000001E-2</v>
      </c>
      <c r="D48" s="155">
        <v>1.9E-2</v>
      </c>
      <c r="E48" s="155">
        <v>1.9199999999999998E-2</v>
      </c>
      <c r="F48" s="155">
        <v>2.1100000000000001E-2</v>
      </c>
      <c r="G48" s="155">
        <v>2.29E-2</v>
      </c>
      <c r="H48" s="87"/>
      <c r="I48" s="164"/>
      <c r="J48" s="1254"/>
    </row>
    <row r="49" spans="1:23">
      <c r="A49" s="147"/>
      <c r="B49" s="163" t="s">
        <v>56</v>
      </c>
      <c r="C49" s="163">
        <v>2.1100000000000001E-2</v>
      </c>
      <c r="D49" s="155">
        <v>1.9599999999999999E-2</v>
      </c>
      <c r="E49" s="155">
        <v>1.9799999999999998E-2</v>
      </c>
      <c r="F49" s="155">
        <v>2.1700000000000001E-2</v>
      </c>
      <c r="G49" s="155">
        <v>2.35E-2</v>
      </c>
      <c r="H49" s="87"/>
      <c r="I49" s="164"/>
      <c r="J49" s="1254"/>
    </row>
    <row r="50" spans="1:23">
      <c r="A50" s="147"/>
      <c r="B50" s="163" t="s">
        <v>27</v>
      </c>
      <c r="C50" s="163">
        <v>2.0500000000000001E-2</v>
      </c>
      <c r="D50" s="155">
        <v>1.9E-2</v>
      </c>
      <c r="E50" s="155">
        <v>1.9199999999999998E-2</v>
      </c>
      <c r="F50" s="155">
        <v>2.1100000000000001E-2</v>
      </c>
      <c r="G50" s="155">
        <v>2.29E-2</v>
      </c>
      <c r="H50" s="87"/>
      <c r="I50" s="164"/>
      <c r="J50" s="1254"/>
    </row>
    <row r="51" spans="1:23">
      <c r="A51" s="147"/>
      <c r="B51" s="165" t="s">
        <v>29</v>
      </c>
      <c r="C51" s="165">
        <v>-5.9999999999999995E-4</v>
      </c>
      <c r="D51" s="166">
        <v>2.12E-2</v>
      </c>
      <c r="E51" s="166">
        <v>5.0099999999999999E-2</v>
      </c>
      <c r="F51" s="166">
        <v>4.7300000000000002E-2</v>
      </c>
      <c r="G51" s="166">
        <v>4.19E-2</v>
      </c>
      <c r="H51" s="167"/>
      <c r="I51" s="168"/>
      <c r="J51" s="1254"/>
    </row>
    <row r="52" spans="1:23">
      <c r="C52" s="205"/>
      <c r="D52" s="205"/>
      <c r="E52" s="205"/>
      <c r="F52" s="205"/>
      <c r="G52" s="205"/>
      <c r="H52" s="14"/>
    </row>
    <row r="53" spans="1:23">
      <c r="B53" s="61" t="s">
        <v>57</v>
      </c>
      <c r="C53" s="34"/>
      <c r="D53" s="34"/>
      <c r="E53" s="34"/>
      <c r="F53" s="34"/>
      <c r="G53" s="34"/>
      <c r="I53" s="14"/>
    </row>
    <row r="54" spans="1:23">
      <c r="A54" s="12" t="s">
        <v>6</v>
      </c>
      <c r="C54" s="171">
        <v>2022</v>
      </c>
      <c r="D54" s="172">
        <f t="shared" ref="D54:I54" si="13">C54+1</f>
        <v>2023</v>
      </c>
      <c r="E54" s="172">
        <f t="shared" si="13"/>
        <v>2024</v>
      </c>
      <c r="F54" s="172">
        <f t="shared" si="13"/>
        <v>2025</v>
      </c>
      <c r="G54" s="172">
        <f t="shared" si="13"/>
        <v>2026</v>
      </c>
      <c r="H54" s="172">
        <f t="shared" si="13"/>
        <v>2027</v>
      </c>
      <c r="I54" s="172">
        <f t="shared" si="13"/>
        <v>2028</v>
      </c>
    </row>
    <row r="55" spans="1:23">
      <c r="A55" s="12" t="s">
        <v>42</v>
      </c>
      <c r="B55" s="163" t="s">
        <v>19</v>
      </c>
      <c r="C55" s="162"/>
      <c r="D55" s="87"/>
      <c r="E55" s="155">
        <v>5.2833944000000001E-2</v>
      </c>
      <c r="F55" s="155">
        <v>5.5875458000000003E-2</v>
      </c>
      <c r="G55" s="155">
        <v>5.5175427000000006E-2</v>
      </c>
      <c r="H55" s="155">
        <v>5.5320261000000003E-2</v>
      </c>
      <c r="I55" s="60">
        <v>5.5489234000000012E-2</v>
      </c>
    </row>
    <row r="56" spans="1:23">
      <c r="A56" s="12" t="s">
        <v>58</v>
      </c>
      <c r="B56" s="163" t="s">
        <v>22</v>
      </c>
      <c r="C56" s="163">
        <v>4.2439449777777784E-2</v>
      </c>
      <c r="D56" s="155">
        <v>4.2616093333333334E-2</v>
      </c>
      <c r="E56" s="155">
        <v>4.909683911111111E-2</v>
      </c>
      <c r="F56" s="155">
        <v>5.2011518222222233E-2</v>
      </c>
      <c r="G56" s="155">
        <v>5.158926844444444E-2</v>
      </c>
      <c r="H56" s="87"/>
      <c r="I56" s="164"/>
      <c r="N56" s="135"/>
      <c r="O56" s="135"/>
      <c r="P56" s="135"/>
      <c r="Q56" s="135"/>
      <c r="R56" s="135"/>
    </row>
    <row r="57" spans="1:23">
      <c r="A57" s="12" t="s">
        <v>59</v>
      </c>
      <c r="B57" s="163" t="s">
        <v>25</v>
      </c>
      <c r="C57" s="163">
        <v>4.5181881000000007E-2</v>
      </c>
      <c r="D57" s="155">
        <v>4.5568104999999998E-2</v>
      </c>
      <c r="E57" s="155">
        <v>5.2833943999999994E-2</v>
      </c>
      <c r="F57" s="155">
        <v>5.5875458000000003E-2</v>
      </c>
      <c r="G57" s="155">
        <v>5.5175426999999992E-2</v>
      </c>
      <c r="H57" s="87"/>
      <c r="I57" s="164"/>
    </row>
    <row r="58" spans="1:23">
      <c r="A58" s="12" t="s">
        <v>60</v>
      </c>
      <c r="B58" s="163" t="s">
        <v>27</v>
      </c>
      <c r="C58" s="266">
        <v>4.5181881000000007E-2</v>
      </c>
      <c r="D58" s="267">
        <v>4.5568104999999991E-2</v>
      </c>
      <c r="E58" s="267">
        <v>5.2833943999999994E-2</v>
      </c>
      <c r="F58" s="267">
        <v>5.587545800000001E-2</v>
      </c>
      <c r="G58" s="267">
        <v>5.5175426999999992E-2</v>
      </c>
      <c r="H58" s="87"/>
      <c r="I58" s="164"/>
    </row>
    <row r="59" spans="1:23">
      <c r="A59" s="12" t="s">
        <v>61</v>
      </c>
      <c r="B59" s="165" t="s">
        <v>29</v>
      </c>
      <c r="C59" s="268">
        <v>7.5718976000000007E-2</v>
      </c>
      <c r="D59" s="268">
        <v>7.5510080000000007E-2</v>
      </c>
      <c r="E59" s="268">
        <v>7.1580223999999998E-2</v>
      </c>
      <c r="F59" s="268">
        <v>6.9935168000000006E-2</v>
      </c>
      <c r="G59" s="268">
        <v>7.0313792E-2</v>
      </c>
      <c r="H59" s="207"/>
      <c r="I59" s="168"/>
    </row>
    <row r="60" spans="1:23" ht="14" thickBot="1">
      <c r="A60" s="147"/>
      <c r="B60" s="205"/>
      <c r="C60" s="205"/>
      <c r="D60" s="205"/>
      <c r="E60" s="205"/>
      <c r="F60" s="205"/>
      <c r="G60" s="205"/>
      <c r="H60" s="206"/>
      <c r="I60" s="206"/>
    </row>
    <row r="61" spans="1:23" s="144" customFormat="1" ht="41" thickBot="1">
      <c r="A61"/>
      <c r="B61" s="3"/>
      <c r="C61" s="222" t="s">
        <v>62</v>
      </c>
      <c r="D61" s="222" t="s">
        <v>63</v>
      </c>
      <c r="E61" s="222" t="s">
        <v>64</v>
      </c>
      <c r="F61" s="222" t="s">
        <v>65</v>
      </c>
      <c r="G61" s="223" t="s">
        <v>66</v>
      </c>
      <c r="H61" s="1397" t="s">
        <v>67</v>
      </c>
      <c r="I61" s="1398"/>
      <c r="J61" s="1398"/>
      <c r="K61" s="1398"/>
      <c r="L61" s="1398"/>
      <c r="M61" s="1398"/>
      <c r="N61" s="1398"/>
      <c r="O61" s="1394" t="s">
        <v>68</v>
      </c>
      <c r="P61" s="1395"/>
      <c r="Q61" s="1395"/>
      <c r="R61" s="1395"/>
      <c r="S61" s="1395"/>
      <c r="T61" s="1395"/>
      <c r="U61" s="1396"/>
      <c r="V61"/>
      <c r="W61"/>
    </row>
    <row r="62" spans="1:23" ht="14" thickBot="1">
      <c r="A62" s="48" t="s">
        <v>6</v>
      </c>
      <c r="B62" s="218" t="s">
        <v>69</v>
      </c>
      <c r="C62" s="219"/>
      <c r="D62" s="219"/>
      <c r="E62" s="220"/>
      <c r="F62" s="221"/>
      <c r="G62" s="1231"/>
      <c r="H62" s="1235">
        <v>2022</v>
      </c>
      <c r="I62" s="1236">
        <f t="shared" ref="I62:N62" si="14">H62+1</f>
        <v>2023</v>
      </c>
      <c r="J62" s="1236">
        <f t="shared" si="14"/>
        <v>2024</v>
      </c>
      <c r="K62" s="1237">
        <f t="shared" si="14"/>
        <v>2025</v>
      </c>
      <c r="L62" s="1237">
        <f t="shared" si="14"/>
        <v>2026</v>
      </c>
      <c r="M62" s="1237">
        <f t="shared" si="14"/>
        <v>2027</v>
      </c>
      <c r="N62" s="1238">
        <f t="shared" si="14"/>
        <v>2028</v>
      </c>
      <c r="O62" s="1220">
        <v>2022</v>
      </c>
      <c r="P62" s="209">
        <f t="shared" ref="P62:U62" si="15">O62+1</f>
        <v>2023</v>
      </c>
      <c r="Q62" s="209">
        <f t="shared" si="15"/>
        <v>2024</v>
      </c>
      <c r="R62" s="210">
        <f t="shared" si="15"/>
        <v>2025</v>
      </c>
      <c r="S62" s="210">
        <f t="shared" si="15"/>
        <v>2026</v>
      </c>
      <c r="T62" s="210">
        <f t="shared" si="15"/>
        <v>2027</v>
      </c>
      <c r="U62" s="1221">
        <f t="shared" si="15"/>
        <v>2028</v>
      </c>
    </row>
    <row r="63" spans="1:23">
      <c r="A63" s="12" t="s">
        <v>19</v>
      </c>
      <c r="B63" s="213" t="s">
        <v>70</v>
      </c>
      <c r="C63" s="212">
        <v>0.50600000000000001</v>
      </c>
      <c r="D63" s="155">
        <v>0.6</v>
      </c>
      <c r="E63" s="214">
        <v>2024</v>
      </c>
      <c r="F63" s="1214" t="str">
        <f t="shared" ref="F63:F91" si="16">VLOOKUP($A63,$H$6:$I$10,2,FALSE)</f>
        <v>£m 20/21</v>
      </c>
      <c r="G63" s="1232" t="s">
        <v>53</v>
      </c>
      <c r="H63" s="1239"/>
      <c r="I63" s="211"/>
      <c r="J63" s="1218">
        <f t="shared" ref="J63:N76" si="17">INDEX($C$42:$I$51,MATCH($G63,$B$42:$B$51,0),MATCH(J$62,$C$41:$I$41))</f>
        <v>3.1E-2</v>
      </c>
      <c r="K63" s="1218">
        <f t="shared" si="17"/>
        <v>3.1699999999999999E-2</v>
      </c>
      <c r="L63" s="1218">
        <f t="shared" si="17"/>
        <v>3.2300000000000002E-2</v>
      </c>
      <c r="M63" s="1217">
        <f t="shared" si="17"/>
        <v>3.2399999999999998E-2</v>
      </c>
      <c r="N63" s="1223">
        <f t="shared" si="17"/>
        <v>3.2599999999999997E-2</v>
      </c>
      <c r="O63" s="1222"/>
      <c r="P63" s="161"/>
      <c r="Q63" s="1219">
        <f t="shared" ref="Q63:U76" si="18">INDEX($C$55:$I$59,MATCH($A63,$B$55:$B$59,0),MATCH(Q$62,$C$54:$I$54))</f>
        <v>5.2833944000000001E-2</v>
      </c>
      <c r="R63" s="1219">
        <f t="shared" si="18"/>
        <v>5.5875458000000003E-2</v>
      </c>
      <c r="S63" s="1219">
        <f t="shared" si="18"/>
        <v>5.5175427000000006E-2</v>
      </c>
      <c r="T63" s="1217">
        <f t="shared" si="18"/>
        <v>5.5320261000000003E-2</v>
      </c>
      <c r="U63" s="1223">
        <f t="shared" si="18"/>
        <v>5.5489234000000012E-2</v>
      </c>
    </row>
    <row r="64" spans="1:23">
      <c r="A64" s="12" t="s">
        <v>19</v>
      </c>
      <c r="B64" s="215" t="s">
        <v>71</v>
      </c>
      <c r="C64" s="155">
        <v>0.501</v>
      </c>
      <c r="D64" s="155">
        <v>0.6</v>
      </c>
      <c r="E64" s="49">
        <v>2024</v>
      </c>
      <c r="F64" s="1215" t="str">
        <f t="shared" si="16"/>
        <v>£m 20/21</v>
      </c>
      <c r="G64" s="1233" t="s">
        <v>53</v>
      </c>
      <c r="H64" s="1224"/>
      <c r="I64" s="87"/>
      <c r="J64" s="1217">
        <f t="shared" si="17"/>
        <v>3.1E-2</v>
      </c>
      <c r="K64" s="1217">
        <f t="shared" si="17"/>
        <v>3.1699999999999999E-2</v>
      </c>
      <c r="L64" s="1217">
        <f t="shared" si="17"/>
        <v>3.2300000000000002E-2</v>
      </c>
      <c r="M64" s="1217">
        <f t="shared" si="17"/>
        <v>3.2399999999999998E-2</v>
      </c>
      <c r="N64" s="1223">
        <f t="shared" si="17"/>
        <v>3.2599999999999997E-2</v>
      </c>
      <c r="O64" s="1224"/>
      <c r="P64" s="87"/>
      <c r="Q64" s="1217">
        <f t="shared" si="18"/>
        <v>5.2833944000000001E-2</v>
      </c>
      <c r="R64" s="1217">
        <f t="shared" si="18"/>
        <v>5.5875458000000003E-2</v>
      </c>
      <c r="S64" s="1217">
        <f t="shared" si="18"/>
        <v>5.5175427000000006E-2</v>
      </c>
      <c r="T64" s="1217">
        <f t="shared" si="18"/>
        <v>5.5320261000000003E-2</v>
      </c>
      <c r="U64" s="1223">
        <f t="shared" si="18"/>
        <v>5.5489234000000012E-2</v>
      </c>
    </row>
    <row r="65" spans="1:21">
      <c r="A65" s="12" t="s">
        <v>19</v>
      </c>
      <c r="B65" s="215" t="s">
        <v>72</v>
      </c>
      <c r="C65" s="155">
        <v>0.501</v>
      </c>
      <c r="D65" s="155">
        <v>0.6</v>
      </c>
      <c r="E65" s="49">
        <v>2024</v>
      </c>
      <c r="F65" s="1215" t="str">
        <f t="shared" si="16"/>
        <v>£m 20/21</v>
      </c>
      <c r="G65" s="1233" t="s">
        <v>53</v>
      </c>
      <c r="H65" s="1224"/>
      <c r="I65" s="87"/>
      <c r="J65" s="1217">
        <f t="shared" si="17"/>
        <v>3.1E-2</v>
      </c>
      <c r="K65" s="1217">
        <f t="shared" si="17"/>
        <v>3.1699999999999999E-2</v>
      </c>
      <c r="L65" s="1217">
        <f t="shared" si="17"/>
        <v>3.2300000000000002E-2</v>
      </c>
      <c r="M65" s="1217">
        <f t="shared" si="17"/>
        <v>3.2399999999999998E-2</v>
      </c>
      <c r="N65" s="1223">
        <f t="shared" si="17"/>
        <v>3.2599999999999997E-2</v>
      </c>
      <c r="O65" s="1224"/>
      <c r="P65" s="87"/>
      <c r="Q65" s="1217">
        <f t="shared" si="18"/>
        <v>5.2833944000000001E-2</v>
      </c>
      <c r="R65" s="1217">
        <f t="shared" si="18"/>
        <v>5.5875458000000003E-2</v>
      </c>
      <c r="S65" s="1217">
        <f t="shared" si="18"/>
        <v>5.5175427000000006E-2</v>
      </c>
      <c r="T65" s="1217">
        <f t="shared" si="18"/>
        <v>5.5320261000000003E-2</v>
      </c>
      <c r="U65" s="1223">
        <f t="shared" si="18"/>
        <v>5.5489234000000012E-2</v>
      </c>
    </row>
    <row r="66" spans="1:21">
      <c r="A66" s="12" t="s">
        <v>19</v>
      </c>
      <c r="B66" s="215" t="s">
        <v>52</v>
      </c>
      <c r="C66" s="155">
        <v>0.5</v>
      </c>
      <c r="D66" s="155">
        <v>0.6</v>
      </c>
      <c r="E66" s="49">
        <v>2024</v>
      </c>
      <c r="F66" s="1215" t="str">
        <f t="shared" si="16"/>
        <v>£m 20/21</v>
      </c>
      <c r="G66" s="1233" t="s">
        <v>52</v>
      </c>
      <c r="H66" s="1224"/>
      <c r="I66" s="87"/>
      <c r="J66" s="1217">
        <f t="shared" si="17"/>
        <v>3.04E-2</v>
      </c>
      <c r="K66" s="1217">
        <f t="shared" si="17"/>
        <v>3.1099999999999999E-2</v>
      </c>
      <c r="L66" s="1217">
        <f t="shared" si="17"/>
        <v>3.1699999999999999E-2</v>
      </c>
      <c r="M66" s="1217">
        <f t="shared" si="17"/>
        <v>3.1800000000000002E-2</v>
      </c>
      <c r="N66" s="1223">
        <f t="shared" si="17"/>
        <v>3.2000000000000001E-2</v>
      </c>
      <c r="O66" s="1224"/>
      <c r="P66" s="87"/>
      <c r="Q66" s="1217">
        <f t="shared" si="18"/>
        <v>5.2833944000000001E-2</v>
      </c>
      <c r="R66" s="1217">
        <f t="shared" si="18"/>
        <v>5.5875458000000003E-2</v>
      </c>
      <c r="S66" s="1217">
        <f t="shared" si="18"/>
        <v>5.5175427000000006E-2</v>
      </c>
      <c r="T66" s="1217">
        <f t="shared" si="18"/>
        <v>5.5320261000000003E-2</v>
      </c>
      <c r="U66" s="1223">
        <f t="shared" si="18"/>
        <v>5.5489234000000012E-2</v>
      </c>
    </row>
    <row r="67" spans="1:21">
      <c r="A67" s="12" t="s">
        <v>19</v>
      </c>
      <c r="B67" s="215" t="s">
        <v>4</v>
      </c>
      <c r="C67" s="155">
        <v>0.5</v>
      </c>
      <c r="D67" s="155">
        <v>0.6</v>
      </c>
      <c r="E67" s="49">
        <v>2024</v>
      </c>
      <c r="F67" s="1215" t="str">
        <f t="shared" si="16"/>
        <v>£m 20/21</v>
      </c>
      <c r="G67" s="1233" t="s">
        <v>53</v>
      </c>
      <c r="H67" s="1224"/>
      <c r="I67" s="87"/>
      <c r="J67" s="1217">
        <f t="shared" si="17"/>
        <v>3.1E-2</v>
      </c>
      <c r="K67" s="1217">
        <f t="shared" si="17"/>
        <v>3.1699999999999999E-2</v>
      </c>
      <c r="L67" s="1217">
        <f t="shared" si="17"/>
        <v>3.2300000000000002E-2</v>
      </c>
      <c r="M67" s="1217">
        <f t="shared" si="17"/>
        <v>3.2399999999999998E-2</v>
      </c>
      <c r="N67" s="1223">
        <f t="shared" si="17"/>
        <v>3.2599999999999997E-2</v>
      </c>
      <c r="O67" s="1224"/>
      <c r="P67" s="87"/>
      <c r="Q67" s="1217">
        <f t="shared" si="18"/>
        <v>5.2833944000000001E-2</v>
      </c>
      <c r="R67" s="1217">
        <f t="shared" si="18"/>
        <v>5.5875458000000003E-2</v>
      </c>
      <c r="S67" s="1217">
        <f t="shared" si="18"/>
        <v>5.5175427000000006E-2</v>
      </c>
      <c r="T67" s="1217">
        <f t="shared" si="18"/>
        <v>5.5320261000000003E-2</v>
      </c>
      <c r="U67" s="1223">
        <f t="shared" si="18"/>
        <v>5.5489234000000012E-2</v>
      </c>
    </row>
    <row r="68" spans="1:21">
      <c r="A68" s="12" t="s">
        <v>19</v>
      </c>
      <c r="B68" s="215" t="s">
        <v>73</v>
      </c>
      <c r="C68" s="155">
        <v>0.5</v>
      </c>
      <c r="D68" s="155">
        <v>0.6</v>
      </c>
      <c r="E68" s="49">
        <v>2024</v>
      </c>
      <c r="F68" s="1215" t="str">
        <f t="shared" si="16"/>
        <v>£m 20/21</v>
      </c>
      <c r="G68" s="1233" t="s">
        <v>53</v>
      </c>
      <c r="H68" s="1224"/>
      <c r="I68" s="87"/>
      <c r="J68" s="1217">
        <f t="shared" si="17"/>
        <v>3.1E-2</v>
      </c>
      <c r="K68" s="1217">
        <f t="shared" si="17"/>
        <v>3.1699999999999999E-2</v>
      </c>
      <c r="L68" s="1217">
        <f t="shared" si="17"/>
        <v>3.2300000000000002E-2</v>
      </c>
      <c r="M68" s="1217">
        <f t="shared" si="17"/>
        <v>3.2399999999999998E-2</v>
      </c>
      <c r="N68" s="1223">
        <f t="shared" si="17"/>
        <v>3.2599999999999997E-2</v>
      </c>
      <c r="O68" s="1224"/>
      <c r="P68" s="87"/>
      <c r="Q68" s="1217">
        <f t="shared" si="18"/>
        <v>5.2833944000000001E-2</v>
      </c>
      <c r="R68" s="1217">
        <f t="shared" si="18"/>
        <v>5.5875458000000003E-2</v>
      </c>
      <c r="S68" s="1217">
        <f t="shared" si="18"/>
        <v>5.5175427000000006E-2</v>
      </c>
      <c r="T68" s="1217">
        <f t="shared" si="18"/>
        <v>5.5320261000000003E-2</v>
      </c>
      <c r="U68" s="1223">
        <f t="shared" si="18"/>
        <v>5.5489234000000012E-2</v>
      </c>
    </row>
    <row r="69" spans="1:21">
      <c r="A69" s="12" t="s">
        <v>19</v>
      </c>
      <c r="B69" s="215" t="s">
        <v>74</v>
      </c>
      <c r="C69" s="155">
        <v>0.5</v>
      </c>
      <c r="D69" s="155">
        <v>0.6</v>
      </c>
      <c r="E69" s="49">
        <v>2024</v>
      </c>
      <c r="F69" s="1215" t="str">
        <f t="shared" si="16"/>
        <v>£m 20/21</v>
      </c>
      <c r="G69" s="1233" t="s">
        <v>53</v>
      </c>
      <c r="H69" s="1224"/>
      <c r="I69" s="87"/>
      <c r="J69" s="1217">
        <f t="shared" si="17"/>
        <v>3.1E-2</v>
      </c>
      <c r="K69" s="1217">
        <f t="shared" si="17"/>
        <v>3.1699999999999999E-2</v>
      </c>
      <c r="L69" s="1217">
        <f t="shared" si="17"/>
        <v>3.2300000000000002E-2</v>
      </c>
      <c r="M69" s="1217">
        <f t="shared" si="17"/>
        <v>3.2399999999999998E-2</v>
      </c>
      <c r="N69" s="1223">
        <f t="shared" si="17"/>
        <v>3.2599999999999997E-2</v>
      </c>
      <c r="O69" s="1224"/>
      <c r="P69" s="87"/>
      <c r="Q69" s="1217">
        <f t="shared" si="18"/>
        <v>5.2833944000000001E-2</v>
      </c>
      <c r="R69" s="1217">
        <f t="shared" si="18"/>
        <v>5.5875458000000003E-2</v>
      </c>
      <c r="S69" s="1217">
        <f t="shared" si="18"/>
        <v>5.5175427000000006E-2</v>
      </c>
      <c r="T69" s="1217">
        <f t="shared" si="18"/>
        <v>5.5320261000000003E-2</v>
      </c>
      <c r="U69" s="1223">
        <f t="shared" si="18"/>
        <v>5.5489234000000012E-2</v>
      </c>
    </row>
    <row r="70" spans="1:21">
      <c r="A70" s="12" t="s">
        <v>19</v>
      </c>
      <c r="B70" s="215" t="s">
        <v>75</v>
      </c>
      <c r="C70" s="155">
        <v>0.5</v>
      </c>
      <c r="D70" s="155">
        <v>0.6</v>
      </c>
      <c r="E70" s="49">
        <v>2024</v>
      </c>
      <c r="F70" s="1215" t="str">
        <f t="shared" si="16"/>
        <v>£m 20/21</v>
      </c>
      <c r="G70" s="1233" t="s">
        <v>53</v>
      </c>
      <c r="H70" s="1224"/>
      <c r="I70" s="87"/>
      <c r="J70" s="1217">
        <f t="shared" si="17"/>
        <v>3.1E-2</v>
      </c>
      <c r="K70" s="1217">
        <f t="shared" si="17"/>
        <v>3.1699999999999999E-2</v>
      </c>
      <c r="L70" s="1217">
        <f t="shared" si="17"/>
        <v>3.2300000000000002E-2</v>
      </c>
      <c r="M70" s="1217">
        <f t="shared" si="17"/>
        <v>3.2399999999999998E-2</v>
      </c>
      <c r="N70" s="1223">
        <f t="shared" si="17"/>
        <v>3.2599999999999997E-2</v>
      </c>
      <c r="O70" s="1224"/>
      <c r="P70" s="87"/>
      <c r="Q70" s="1217">
        <f t="shared" si="18"/>
        <v>5.2833944000000001E-2</v>
      </c>
      <c r="R70" s="1217">
        <f t="shared" si="18"/>
        <v>5.5875458000000003E-2</v>
      </c>
      <c r="S70" s="1217">
        <f t="shared" si="18"/>
        <v>5.5175427000000006E-2</v>
      </c>
      <c r="T70" s="1217">
        <f t="shared" si="18"/>
        <v>5.5320261000000003E-2</v>
      </c>
      <c r="U70" s="1223">
        <f t="shared" si="18"/>
        <v>5.5489234000000012E-2</v>
      </c>
    </row>
    <row r="71" spans="1:21">
      <c r="A71" s="12" t="s">
        <v>19</v>
      </c>
      <c r="B71" s="215" t="s">
        <v>76</v>
      </c>
      <c r="C71" s="155">
        <v>0.50700000000000001</v>
      </c>
      <c r="D71" s="155">
        <v>0.6</v>
      </c>
      <c r="E71" s="49">
        <v>2024</v>
      </c>
      <c r="F71" s="1215" t="str">
        <f t="shared" si="16"/>
        <v>£m 20/21</v>
      </c>
      <c r="G71" s="1233" t="s">
        <v>53</v>
      </c>
      <c r="H71" s="1224"/>
      <c r="I71" s="87"/>
      <c r="J71" s="1217">
        <f t="shared" si="17"/>
        <v>3.1E-2</v>
      </c>
      <c r="K71" s="1217">
        <f t="shared" si="17"/>
        <v>3.1699999999999999E-2</v>
      </c>
      <c r="L71" s="1217">
        <f t="shared" si="17"/>
        <v>3.2300000000000002E-2</v>
      </c>
      <c r="M71" s="1217">
        <f t="shared" si="17"/>
        <v>3.2399999999999998E-2</v>
      </c>
      <c r="N71" s="1223">
        <f t="shared" si="17"/>
        <v>3.2599999999999997E-2</v>
      </c>
      <c r="O71" s="1224"/>
      <c r="P71" s="87"/>
      <c r="Q71" s="1217">
        <f t="shared" si="18"/>
        <v>5.2833944000000001E-2</v>
      </c>
      <c r="R71" s="1217">
        <f t="shared" si="18"/>
        <v>5.5875458000000003E-2</v>
      </c>
      <c r="S71" s="1217">
        <f t="shared" si="18"/>
        <v>5.5175427000000006E-2</v>
      </c>
      <c r="T71" s="1217">
        <f t="shared" si="18"/>
        <v>5.5320261000000003E-2</v>
      </c>
      <c r="U71" s="1223">
        <f t="shared" si="18"/>
        <v>5.5489234000000012E-2</v>
      </c>
    </row>
    <row r="72" spans="1:21">
      <c r="A72" s="12" t="s">
        <v>19</v>
      </c>
      <c r="B72" s="215" t="s">
        <v>50</v>
      </c>
      <c r="C72" s="155">
        <v>0.50700000000000001</v>
      </c>
      <c r="D72" s="155">
        <v>0.6</v>
      </c>
      <c r="E72" s="49">
        <v>2024</v>
      </c>
      <c r="F72" s="1215" t="str">
        <f t="shared" si="16"/>
        <v>£m 20/21</v>
      </c>
      <c r="G72" s="1233" t="s">
        <v>50</v>
      </c>
      <c r="H72" s="1224"/>
      <c r="I72" s="87"/>
      <c r="J72" s="1217">
        <f t="shared" si="17"/>
        <v>3.04E-2</v>
      </c>
      <c r="K72" s="1217">
        <f t="shared" si="17"/>
        <v>3.1099999999999999E-2</v>
      </c>
      <c r="L72" s="1217">
        <f t="shared" si="17"/>
        <v>3.1699999999999999E-2</v>
      </c>
      <c r="M72" s="1217">
        <f t="shared" si="17"/>
        <v>3.1800000000000002E-2</v>
      </c>
      <c r="N72" s="1223">
        <f t="shared" si="17"/>
        <v>3.2000000000000001E-2</v>
      </c>
      <c r="O72" s="1224"/>
      <c r="P72" s="87"/>
      <c r="Q72" s="1217">
        <f t="shared" si="18"/>
        <v>5.2833944000000001E-2</v>
      </c>
      <c r="R72" s="1217">
        <f t="shared" si="18"/>
        <v>5.5875458000000003E-2</v>
      </c>
      <c r="S72" s="1217">
        <f t="shared" si="18"/>
        <v>5.5175427000000006E-2</v>
      </c>
      <c r="T72" s="1217">
        <f t="shared" si="18"/>
        <v>5.5320261000000003E-2</v>
      </c>
      <c r="U72" s="1223">
        <f t="shared" si="18"/>
        <v>5.5489234000000012E-2</v>
      </c>
    </row>
    <row r="73" spans="1:21">
      <c r="A73" s="12" t="s">
        <v>19</v>
      </c>
      <c r="B73" s="215" t="s">
        <v>51</v>
      </c>
      <c r="C73" s="155">
        <v>0.5</v>
      </c>
      <c r="D73" s="155">
        <v>0.6</v>
      </c>
      <c r="E73" s="49">
        <v>2024</v>
      </c>
      <c r="F73" s="1215" t="str">
        <f t="shared" si="16"/>
        <v>£m 20/21</v>
      </c>
      <c r="G73" s="1233" t="s">
        <v>51</v>
      </c>
      <c r="H73" s="1224"/>
      <c r="I73" s="87"/>
      <c r="J73" s="1217">
        <f t="shared" si="17"/>
        <v>3.04E-2</v>
      </c>
      <c r="K73" s="1217">
        <f t="shared" si="17"/>
        <v>3.1099999999999999E-2</v>
      </c>
      <c r="L73" s="1217">
        <f t="shared" si="17"/>
        <v>3.1699999999999999E-2</v>
      </c>
      <c r="M73" s="1217">
        <f t="shared" si="17"/>
        <v>3.1800000000000002E-2</v>
      </c>
      <c r="N73" s="1223">
        <f t="shared" si="17"/>
        <v>3.2000000000000001E-2</v>
      </c>
      <c r="O73" s="1224"/>
      <c r="P73" s="87"/>
      <c r="Q73" s="1217">
        <f t="shared" si="18"/>
        <v>5.2833944000000001E-2</v>
      </c>
      <c r="R73" s="1217">
        <f t="shared" si="18"/>
        <v>5.5875458000000003E-2</v>
      </c>
      <c r="S73" s="1217">
        <f t="shared" si="18"/>
        <v>5.5175427000000006E-2</v>
      </c>
      <c r="T73" s="1217">
        <f t="shared" si="18"/>
        <v>5.5320261000000003E-2</v>
      </c>
      <c r="U73" s="1223">
        <f t="shared" si="18"/>
        <v>5.5489234000000012E-2</v>
      </c>
    </row>
    <row r="74" spans="1:21">
      <c r="A74" s="12" t="s">
        <v>19</v>
      </c>
      <c r="B74" s="215" t="s">
        <v>77</v>
      </c>
      <c r="C74" s="155">
        <v>0.5</v>
      </c>
      <c r="D74" s="155">
        <v>0.6</v>
      </c>
      <c r="E74" s="49">
        <v>2024</v>
      </c>
      <c r="F74" s="1215" t="str">
        <f t="shared" si="16"/>
        <v>£m 20/21</v>
      </c>
      <c r="G74" s="1233" t="s">
        <v>53</v>
      </c>
      <c r="H74" s="1224"/>
      <c r="I74" s="87"/>
      <c r="J74" s="1217">
        <f t="shared" si="17"/>
        <v>3.1E-2</v>
      </c>
      <c r="K74" s="1217">
        <f t="shared" si="17"/>
        <v>3.1699999999999999E-2</v>
      </c>
      <c r="L74" s="1217">
        <f t="shared" si="17"/>
        <v>3.2300000000000002E-2</v>
      </c>
      <c r="M74" s="1217">
        <f t="shared" si="17"/>
        <v>3.2399999999999998E-2</v>
      </c>
      <c r="N74" s="1223">
        <f t="shared" si="17"/>
        <v>3.2599999999999997E-2</v>
      </c>
      <c r="O74" s="1224"/>
      <c r="P74" s="87"/>
      <c r="Q74" s="1217">
        <f t="shared" si="18"/>
        <v>5.2833944000000001E-2</v>
      </c>
      <c r="R74" s="1217">
        <f t="shared" si="18"/>
        <v>5.5875458000000003E-2</v>
      </c>
      <c r="S74" s="1217">
        <f t="shared" si="18"/>
        <v>5.5175427000000006E-2</v>
      </c>
      <c r="T74" s="1217">
        <f t="shared" si="18"/>
        <v>5.5320261000000003E-2</v>
      </c>
      <c r="U74" s="1223">
        <f t="shared" si="18"/>
        <v>5.5489234000000012E-2</v>
      </c>
    </row>
    <row r="75" spans="1:21">
      <c r="A75" s="12" t="s">
        <v>19</v>
      </c>
      <c r="B75" s="215" t="s">
        <v>78</v>
      </c>
      <c r="C75" s="155">
        <v>0.5</v>
      </c>
      <c r="D75" s="155">
        <v>0.6</v>
      </c>
      <c r="E75" s="49">
        <v>2024</v>
      </c>
      <c r="F75" s="1215" t="str">
        <f t="shared" si="16"/>
        <v>£m 20/21</v>
      </c>
      <c r="G75" s="1233" t="s">
        <v>53</v>
      </c>
      <c r="H75" s="1224"/>
      <c r="I75" s="87"/>
      <c r="J75" s="1217">
        <f t="shared" si="17"/>
        <v>3.1E-2</v>
      </c>
      <c r="K75" s="1217">
        <f t="shared" si="17"/>
        <v>3.1699999999999999E-2</v>
      </c>
      <c r="L75" s="1217">
        <f t="shared" si="17"/>
        <v>3.2300000000000002E-2</v>
      </c>
      <c r="M75" s="1217">
        <f t="shared" si="17"/>
        <v>3.2399999999999998E-2</v>
      </c>
      <c r="N75" s="1223">
        <f t="shared" si="17"/>
        <v>3.2599999999999997E-2</v>
      </c>
      <c r="O75" s="1224"/>
      <c r="P75" s="87"/>
      <c r="Q75" s="1217">
        <f t="shared" si="18"/>
        <v>5.2833944000000001E-2</v>
      </c>
      <c r="R75" s="1217">
        <f t="shared" si="18"/>
        <v>5.5875458000000003E-2</v>
      </c>
      <c r="S75" s="1217">
        <f t="shared" si="18"/>
        <v>5.5175427000000006E-2</v>
      </c>
      <c r="T75" s="1217">
        <f t="shared" si="18"/>
        <v>5.5320261000000003E-2</v>
      </c>
      <c r="U75" s="1223">
        <f t="shared" si="18"/>
        <v>5.5489234000000012E-2</v>
      </c>
    </row>
    <row r="76" spans="1:21">
      <c r="A76" s="12" t="s">
        <v>19</v>
      </c>
      <c r="B76" s="215" t="s">
        <v>79</v>
      </c>
      <c r="C76" s="155">
        <v>0.5</v>
      </c>
      <c r="D76" s="155">
        <v>0.6</v>
      </c>
      <c r="E76" s="49">
        <v>2024</v>
      </c>
      <c r="F76" s="1215" t="str">
        <f t="shared" si="16"/>
        <v>£m 20/21</v>
      </c>
      <c r="G76" s="1233" t="s">
        <v>53</v>
      </c>
      <c r="H76" s="1224"/>
      <c r="I76" s="87"/>
      <c r="J76" s="1217">
        <f t="shared" si="17"/>
        <v>3.1E-2</v>
      </c>
      <c r="K76" s="1217">
        <f t="shared" si="17"/>
        <v>3.1699999999999999E-2</v>
      </c>
      <c r="L76" s="1217">
        <f t="shared" si="17"/>
        <v>3.2300000000000002E-2</v>
      </c>
      <c r="M76" s="1217">
        <f t="shared" si="17"/>
        <v>3.2399999999999998E-2</v>
      </c>
      <c r="N76" s="1223">
        <f t="shared" si="17"/>
        <v>3.2599999999999997E-2</v>
      </c>
      <c r="O76" s="1224"/>
      <c r="P76" s="87"/>
      <c r="Q76" s="1217">
        <f t="shared" si="18"/>
        <v>5.2833944000000001E-2</v>
      </c>
      <c r="R76" s="1217">
        <f t="shared" si="18"/>
        <v>5.5875458000000003E-2</v>
      </c>
      <c r="S76" s="1217">
        <f t="shared" si="18"/>
        <v>5.5175427000000006E-2</v>
      </c>
      <c r="T76" s="1217">
        <f t="shared" si="18"/>
        <v>5.5320261000000003E-2</v>
      </c>
      <c r="U76" s="1223">
        <f t="shared" si="18"/>
        <v>5.5489234000000012E-2</v>
      </c>
    </row>
    <row r="77" spans="1:21">
      <c r="A77" s="12" t="s">
        <v>25</v>
      </c>
      <c r="B77" s="215" t="s">
        <v>80</v>
      </c>
      <c r="C77" s="155">
        <v>0.5</v>
      </c>
      <c r="D77" s="155">
        <v>0.6</v>
      </c>
      <c r="E77" s="49">
        <v>2022</v>
      </c>
      <c r="F77" s="1215" t="str">
        <f t="shared" si="16"/>
        <v>£m 18/19</v>
      </c>
      <c r="G77" s="1233" t="s">
        <v>25</v>
      </c>
      <c r="H77" s="1225">
        <f t="shared" ref="H77:L91" si="19">INDEX($C$42:$I$51,MATCH($G77,$B$42:$B$51,0),MATCH(H$62,$C$41:$I$41))</f>
        <v>2.0500000000000001E-2</v>
      </c>
      <c r="I77" s="1217">
        <f t="shared" si="19"/>
        <v>1.9E-2</v>
      </c>
      <c r="J77" s="1217">
        <f t="shared" si="19"/>
        <v>1.9199999999999998E-2</v>
      </c>
      <c r="K77" s="1217">
        <f t="shared" si="19"/>
        <v>2.1100000000000001E-2</v>
      </c>
      <c r="L77" s="1217">
        <f t="shared" si="19"/>
        <v>2.29E-2</v>
      </c>
      <c r="M77" s="87"/>
      <c r="N77" s="1226"/>
      <c r="O77" s="1225">
        <f t="shared" ref="O77:S91" si="20">INDEX($C$55:$I$59,MATCH($A77,$B$55:$B$59,0),MATCH(O$62,$C$54:$I$54))</f>
        <v>4.5181881000000007E-2</v>
      </c>
      <c r="P77" s="1217">
        <f t="shared" si="20"/>
        <v>4.5568104999999998E-2</v>
      </c>
      <c r="Q77" s="1217">
        <f t="shared" si="20"/>
        <v>5.2833943999999994E-2</v>
      </c>
      <c r="R77" s="1217">
        <f t="shared" si="20"/>
        <v>5.5875458000000003E-2</v>
      </c>
      <c r="S77" s="1217">
        <f t="shared" si="20"/>
        <v>5.5175426999999992E-2</v>
      </c>
      <c r="T77" s="87"/>
      <c r="U77" s="1226"/>
    </row>
    <row r="78" spans="1:21">
      <c r="A78" s="12" t="s">
        <v>25</v>
      </c>
      <c r="B78" s="215" t="s">
        <v>81</v>
      </c>
      <c r="C78" s="155">
        <v>0.5</v>
      </c>
      <c r="D78" s="155">
        <v>0.6</v>
      </c>
      <c r="E78" s="49">
        <v>2022</v>
      </c>
      <c r="F78" s="1215" t="str">
        <f t="shared" si="16"/>
        <v>£m 18/19</v>
      </c>
      <c r="G78" s="1233" t="s">
        <v>25</v>
      </c>
      <c r="H78" s="1225">
        <f t="shared" si="19"/>
        <v>2.0500000000000001E-2</v>
      </c>
      <c r="I78" s="1217">
        <f t="shared" si="19"/>
        <v>1.9E-2</v>
      </c>
      <c r="J78" s="1217">
        <f t="shared" si="19"/>
        <v>1.9199999999999998E-2</v>
      </c>
      <c r="K78" s="1217">
        <f t="shared" si="19"/>
        <v>2.1100000000000001E-2</v>
      </c>
      <c r="L78" s="1217">
        <f t="shared" si="19"/>
        <v>2.29E-2</v>
      </c>
      <c r="M78" s="87"/>
      <c r="N78" s="1226"/>
      <c r="O78" s="1225">
        <f t="shared" si="20"/>
        <v>4.5181881000000007E-2</v>
      </c>
      <c r="P78" s="1217">
        <f t="shared" si="20"/>
        <v>4.5568104999999998E-2</v>
      </c>
      <c r="Q78" s="1217">
        <f t="shared" si="20"/>
        <v>5.2833943999999994E-2</v>
      </c>
      <c r="R78" s="1217">
        <f t="shared" si="20"/>
        <v>5.5875458000000003E-2</v>
      </c>
      <c r="S78" s="1217">
        <f t="shared" si="20"/>
        <v>5.5175426999999992E-2</v>
      </c>
      <c r="T78" s="87"/>
      <c r="U78" s="1226"/>
    </row>
    <row r="79" spans="1:21">
      <c r="A79" s="12" t="s">
        <v>25</v>
      </c>
      <c r="B79" s="215" t="s">
        <v>82</v>
      </c>
      <c r="C79" s="155">
        <v>0.5</v>
      </c>
      <c r="D79" s="155">
        <v>0.6</v>
      </c>
      <c r="E79" s="49">
        <v>2022</v>
      </c>
      <c r="F79" s="1215" t="str">
        <f t="shared" si="16"/>
        <v>£m 18/19</v>
      </c>
      <c r="G79" s="1233" t="s">
        <v>25</v>
      </c>
      <c r="H79" s="1225">
        <f t="shared" si="19"/>
        <v>2.0500000000000001E-2</v>
      </c>
      <c r="I79" s="1217">
        <f t="shared" si="19"/>
        <v>1.9E-2</v>
      </c>
      <c r="J79" s="1217">
        <f t="shared" si="19"/>
        <v>1.9199999999999998E-2</v>
      </c>
      <c r="K79" s="1217">
        <f t="shared" si="19"/>
        <v>2.1100000000000001E-2</v>
      </c>
      <c r="L79" s="1217">
        <f t="shared" si="19"/>
        <v>2.29E-2</v>
      </c>
      <c r="M79" s="87"/>
      <c r="N79" s="1226"/>
      <c r="O79" s="1225">
        <f t="shared" si="20"/>
        <v>4.5181881000000007E-2</v>
      </c>
      <c r="P79" s="1217">
        <f t="shared" si="20"/>
        <v>4.5568104999999998E-2</v>
      </c>
      <c r="Q79" s="1217">
        <f t="shared" si="20"/>
        <v>5.2833943999999994E-2</v>
      </c>
      <c r="R79" s="1217">
        <f t="shared" si="20"/>
        <v>5.5875458000000003E-2</v>
      </c>
      <c r="S79" s="1217">
        <f t="shared" si="20"/>
        <v>5.5175426999999992E-2</v>
      </c>
      <c r="T79" s="87"/>
      <c r="U79" s="1226"/>
    </row>
    <row r="80" spans="1:21">
      <c r="A80" s="12" t="s">
        <v>25</v>
      </c>
      <c r="B80" s="215" t="s">
        <v>83</v>
      </c>
      <c r="C80" s="155">
        <v>0.5</v>
      </c>
      <c r="D80" s="155">
        <v>0.6</v>
      </c>
      <c r="E80" s="49">
        <v>2022</v>
      </c>
      <c r="F80" s="1215" t="str">
        <f t="shared" si="16"/>
        <v>£m 18/19</v>
      </c>
      <c r="G80" s="1233" t="s">
        <v>25</v>
      </c>
      <c r="H80" s="1225">
        <f t="shared" si="19"/>
        <v>2.0500000000000001E-2</v>
      </c>
      <c r="I80" s="1217">
        <f t="shared" si="19"/>
        <v>1.9E-2</v>
      </c>
      <c r="J80" s="1217">
        <f t="shared" si="19"/>
        <v>1.9199999999999998E-2</v>
      </c>
      <c r="K80" s="1217">
        <f t="shared" si="19"/>
        <v>2.1100000000000001E-2</v>
      </c>
      <c r="L80" s="1217">
        <f t="shared" si="19"/>
        <v>2.29E-2</v>
      </c>
      <c r="M80" s="87"/>
      <c r="N80" s="1226"/>
      <c r="O80" s="1225">
        <f t="shared" si="20"/>
        <v>4.5181881000000007E-2</v>
      </c>
      <c r="P80" s="1217">
        <f t="shared" si="20"/>
        <v>4.5568104999999998E-2</v>
      </c>
      <c r="Q80" s="1217">
        <f t="shared" si="20"/>
        <v>5.2833943999999994E-2</v>
      </c>
      <c r="R80" s="1217">
        <f t="shared" si="20"/>
        <v>5.5875458000000003E-2</v>
      </c>
      <c r="S80" s="1217">
        <f t="shared" si="20"/>
        <v>5.5175426999999992E-2</v>
      </c>
      <c r="T80" s="87"/>
      <c r="U80" s="1226"/>
    </row>
    <row r="81" spans="1:21">
      <c r="A81" s="12" t="s">
        <v>25</v>
      </c>
      <c r="B81" s="215" t="s">
        <v>84</v>
      </c>
      <c r="C81" s="155">
        <v>0.51</v>
      </c>
      <c r="D81" s="155">
        <v>0.6</v>
      </c>
      <c r="E81" s="49">
        <v>2022</v>
      </c>
      <c r="F81" s="1215" t="str">
        <f t="shared" si="16"/>
        <v>£m 18/19</v>
      </c>
      <c r="G81" s="1233" t="s">
        <v>56</v>
      </c>
      <c r="H81" s="1225">
        <f t="shared" si="19"/>
        <v>2.1100000000000001E-2</v>
      </c>
      <c r="I81" s="1217">
        <f t="shared" si="19"/>
        <v>1.9599999999999999E-2</v>
      </c>
      <c r="J81" s="1217">
        <f t="shared" si="19"/>
        <v>1.9799999999999998E-2</v>
      </c>
      <c r="K81" s="1217">
        <f t="shared" si="19"/>
        <v>2.1700000000000001E-2</v>
      </c>
      <c r="L81" s="1217">
        <f t="shared" si="19"/>
        <v>2.35E-2</v>
      </c>
      <c r="M81" s="87"/>
      <c r="N81" s="1226"/>
      <c r="O81" s="1225">
        <f t="shared" si="20"/>
        <v>4.5181881000000007E-2</v>
      </c>
      <c r="P81" s="1217">
        <f t="shared" si="20"/>
        <v>4.5568104999999998E-2</v>
      </c>
      <c r="Q81" s="1217">
        <f t="shared" si="20"/>
        <v>5.2833943999999994E-2</v>
      </c>
      <c r="R81" s="1217">
        <f t="shared" si="20"/>
        <v>5.5875458000000003E-2</v>
      </c>
      <c r="S81" s="1217">
        <f t="shared" si="20"/>
        <v>5.5175426999999992E-2</v>
      </c>
      <c r="T81" s="87"/>
      <c r="U81" s="1226"/>
    </row>
    <row r="82" spans="1:21">
      <c r="A82" s="12" t="s">
        <v>25</v>
      </c>
      <c r="B82" s="215" t="s">
        <v>85</v>
      </c>
      <c r="C82" s="155">
        <v>0.51</v>
      </c>
      <c r="D82" s="155">
        <v>0.6</v>
      </c>
      <c r="E82" s="49">
        <v>2022</v>
      </c>
      <c r="F82" s="1215" t="str">
        <f t="shared" si="16"/>
        <v>£m 18/19</v>
      </c>
      <c r="G82" s="1233" t="s">
        <v>56</v>
      </c>
      <c r="H82" s="1225">
        <f t="shared" si="19"/>
        <v>2.1100000000000001E-2</v>
      </c>
      <c r="I82" s="1217">
        <f t="shared" si="19"/>
        <v>1.9599999999999999E-2</v>
      </c>
      <c r="J82" s="1217">
        <f t="shared" si="19"/>
        <v>1.9799999999999998E-2</v>
      </c>
      <c r="K82" s="1217">
        <f t="shared" si="19"/>
        <v>2.1700000000000001E-2</v>
      </c>
      <c r="L82" s="1217">
        <f t="shared" si="19"/>
        <v>2.35E-2</v>
      </c>
      <c r="M82" s="87"/>
      <c r="N82" s="1226"/>
      <c r="O82" s="1225">
        <f t="shared" si="20"/>
        <v>4.5181881000000007E-2</v>
      </c>
      <c r="P82" s="1217">
        <f t="shared" si="20"/>
        <v>4.5568104999999998E-2</v>
      </c>
      <c r="Q82" s="1217">
        <f t="shared" si="20"/>
        <v>5.2833943999999994E-2</v>
      </c>
      <c r="R82" s="1217">
        <f t="shared" si="20"/>
        <v>5.5875458000000003E-2</v>
      </c>
      <c r="S82" s="1217">
        <f t="shared" si="20"/>
        <v>5.5175426999999992E-2</v>
      </c>
      <c r="T82" s="87"/>
      <c r="U82" s="1226"/>
    </row>
    <row r="83" spans="1:21">
      <c r="A83" s="12" t="s">
        <v>25</v>
      </c>
      <c r="B83" s="215" t="s">
        <v>86</v>
      </c>
      <c r="C83" s="155">
        <v>0.5</v>
      </c>
      <c r="D83" s="155">
        <v>0.6</v>
      </c>
      <c r="E83" s="49">
        <v>2022</v>
      </c>
      <c r="F83" s="1215" t="str">
        <f t="shared" si="16"/>
        <v>£m 18/19</v>
      </c>
      <c r="G83" s="1233" t="s">
        <v>25</v>
      </c>
      <c r="H83" s="1225">
        <f t="shared" si="19"/>
        <v>2.0500000000000001E-2</v>
      </c>
      <c r="I83" s="1217">
        <f t="shared" si="19"/>
        <v>1.9E-2</v>
      </c>
      <c r="J83" s="1217">
        <f t="shared" si="19"/>
        <v>1.9199999999999998E-2</v>
      </c>
      <c r="K83" s="1217">
        <f t="shared" si="19"/>
        <v>2.1100000000000001E-2</v>
      </c>
      <c r="L83" s="1217">
        <f t="shared" si="19"/>
        <v>2.29E-2</v>
      </c>
      <c r="M83" s="87"/>
      <c r="N83" s="1226"/>
      <c r="O83" s="1225">
        <f t="shared" si="20"/>
        <v>4.5181881000000007E-2</v>
      </c>
      <c r="P83" s="1217">
        <f t="shared" si="20"/>
        <v>4.5568104999999998E-2</v>
      </c>
      <c r="Q83" s="1217">
        <f t="shared" si="20"/>
        <v>5.2833943999999994E-2</v>
      </c>
      <c r="R83" s="1217">
        <f t="shared" si="20"/>
        <v>5.5875458000000003E-2</v>
      </c>
      <c r="S83" s="1217">
        <f t="shared" si="20"/>
        <v>5.5175426999999992E-2</v>
      </c>
      <c r="T83" s="87"/>
      <c r="U83" s="1226"/>
    </row>
    <row r="84" spans="1:21">
      <c r="A84" s="12" t="s">
        <v>25</v>
      </c>
      <c r="B84" s="215" t="s">
        <v>87</v>
      </c>
      <c r="C84" s="155">
        <v>0.5</v>
      </c>
      <c r="D84" s="155">
        <v>0.6</v>
      </c>
      <c r="E84" s="49">
        <v>2022</v>
      </c>
      <c r="F84" s="1215" t="str">
        <f t="shared" si="16"/>
        <v>£m 18/19</v>
      </c>
      <c r="G84" s="1233" t="s">
        <v>56</v>
      </c>
      <c r="H84" s="1225">
        <f t="shared" si="19"/>
        <v>2.1100000000000001E-2</v>
      </c>
      <c r="I84" s="1217">
        <f t="shared" si="19"/>
        <v>1.9599999999999999E-2</v>
      </c>
      <c r="J84" s="1217">
        <f t="shared" si="19"/>
        <v>1.9799999999999998E-2</v>
      </c>
      <c r="K84" s="1217">
        <f t="shared" si="19"/>
        <v>2.1700000000000001E-2</v>
      </c>
      <c r="L84" s="1217">
        <f t="shared" si="19"/>
        <v>2.35E-2</v>
      </c>
      <c r="M84" s="87"/>
      <c r="N84" s="1226"/>
      <c r="O84" s="1225">
        <f t="shared" si="20"/>
        <v>4.5181881000000007E-2</v>
      </c>
      <c r="P84" s="1217">
        <f t="shared" si="20"/>
        <v>4.5568104999999998E-2</v>
      </c>
      <c r="Q84" s="1217">
        <f t="shared" si="20"/>
        <v>5.2833943999999994E-2</v>
      </c>
      <c r="R84" s="1217">
        <f t="shared" si="20"/>
        <v>5.5875458000000003E-2</v>
      </c>
      <c r="S84" s="1217">
        <f t="shared" si="20"/>
        <v>5.5175426999999992E-2</v>
      </c>
      <c r="T84" s="87"/>
      <c r="U84" s="1226"/>
    </row>
    <row r="85" spans="1:21">
      <c r="A85" s="12" t="s">
        <v>27</v>
      </c>
      <c r="B85" s="215" t="s">
        <v>88</v>
      </c>
      <c r="C85" s="155">
        <v>0.61</v>
      </c>
      <c r="D85" s="155">
        <v>0.6</v>
      </c>
      <c r="E85" s="49">
        <v>2022</v>
      </c>
      <c r="F85" s="1215" t="str">
        <f t="shared" si="16"/>
        <v>£m 18/19</v>
      </c>
      <c r="G85" s="1233" t="s">
        <v>27</v>
      </c>
      <c r="H85" s="1225">
        <f t="shared" si="19"/>
        <v>2.0500000000000001E-2</v>
      </c>
      <c r="I85" s="1217">
        <f t="shared" si="19"/>
        <v>1.9E-2</v>
      </c>
      <c r="J85" s="1217">
        <f t="shared" si="19"/>
        <v>1.9199999999999998E-2</v>
      </c>
      <c r="K85" s="1217">
        <f t="shared" si="19"/>
        <v>2.1100000000000001E-2</v>
      </c>
      <c r="L85" s="1217">
        <f t="shared" si="19"/>
        <v>2.29E-2</v>
      </c>
      <c r="M85" s="87"/>
      <c r="N85" s="1226"/>
      <c r="O85" s="1225">
        <f t="shared" si="20"/>
        <v>4.5181881000000007E-2</v>
      </c>
      <c r="P85" s="1217">
        <f t="shared" si="20"/>
        <v>4.5568104999999991E-2</v>
      </c>
      <c r="Q85" s="1217">
        <f t="shared" si="20"/>
        <v>5.2833943999999994E-2</v>
      </c>
      <c r="R85" s="1217">
        <f t="shared" si="20"/>
        <v>5.587545800000001E-2</v>
      </c>
      <c r="S85" s="1217">
        <f t="shared" si="20"/>
        <v>5.5175426999999992E-2</v>
      </c>
      <c r="T85" s="87"/>
      <c r="U85" s="1226"/>
    </row>
    <row r="86" spans="1:21">
      <c r="A86" s="12" t="s">
        <v>27</v>
      </c>
      <c r="B86" s="215" t="s">
        <v>89</v>
      </c>
      <c r="C86" s="155">
        <v>0.61</v>
      </c>
      <c r="D86" s="155">
        <v>0.6</v>
      </c>
      <c r="E86" s="49">
        <v>2022</v>
      </c>
      <c r="F86" s="1215" t="str">
        <f t="shared" si="16"/>
        <v>£m 18/19</v>
      </c>
      <c r="G86" s="1233" t="s">
        <v>27</v>
      </c>
      <c r="H86" s="1225">
        <f t="shared" si="19"/>
        <v>2.0500000000000001E-2</v>
      </c>
      <c r="I86" s="1217">
        <f t="shared" si="19"/>
        <v>1.9E-2</v>
      </c>
      <c r="J86" s="1217">
        <f t="shared" si="19"/>
        <v>1.9199999999999998E-2</v>
      </c>
      <c r="K86" s="1217">
        <f t="shared" si="19"/>
        <v>2.1100000000000001E-2</v>
      </c>
      <c r="L86" s="1217">
        <f t="shared" si="19"/>
        <v>2.29E-2</v>
      </c>
      <c r="M86" s="87"/>
      <c r="N86" s="1226"/>
      <c r="O86" s="1225">
        <f t="shared" si="20"/>
        <v>4.5181881000000007E-2</v>
      </c>
      <c r="P86" s="1217">
        <f t="shared" si="20"/>
        <v>4.5568104999999991E-2</v>
      </c>
      <c r="Q86" s="1217">
        <f t="shared" si="20"/>
        <v>5.2833943999999994E-2</v>
      </c>
      <c r="R86" s="1217">
        <f t="shared" si="20"/>
        <v>5.587545800000001E-2</v>
      </c>
      <c r="S86" s="1217">
        <f t="shared" si="20"/>
        <v>5.5175426999999992E-2</v>
      </c>
      <c r="T86" s="87"/>
      <c r="U86" s="1226"/>
    </row>
    <row r="87" spans="1:21">
      <c r="A87" s="12" t="s">
        <v>27</v>
      </c>
      <c r="B87" s="215" t="s">
        <v>90</v>
      </c>
      <c r="C87" s="155">
        <v>0.61</v>
      </c>
      <c r="D87" s="155">
        <v>0.6</v>
      </c>
      <c r="E87" s="49">
        <v>2022</v>
      </c>
      <c r="F87" s="1215" t="str">
        <f t="shared" si="16"/>
        <v>£m 18/19</v>
      </c>
      <c r="G87" s="1233" t="s">
        <v>27</v>
      </c>
      <c r="H87" s="1225">
        <f t="shared" si="19"/>
        <v>2.0500000000000001E-2</v>
      </c>
      <c r="I87" s="1217">
        <f t="shared" si="19"/>
        <v>1.9E-2</v>
      </c>
      <c r="J87" s="1217">
        <f t="shared" si="19"/>
        <v>1.9199999999999998E-2</v>
      </c>
      <c r="K87" s="1217">
        <f t="shared" si="19"/>
        <v>2.1100000000000001E-2</v>
      </c>
      <c r="L87" s="1217">
        <f t="shared" si="19"/>
        <v>2.29E-2</v>
      </c>
      <c r="M87" s="87"/>
      <c r="N87" s="1226"/>
      <c r="O87" s="1225">
        <f t="shared" si="20"/>
        <v>4.5181881000000007E-2</v>
      </c>
      <c r="P87" s="1217">
        <f t="shared" si="20"/>
        <v>4.5568104999999991E-2</v>
      </c>
      <c r="Q87" s="1217">
        <f t="shared" si="20"/>
        <v>5.2833943999999994E-2</v>
      </c>
      <c r="R87" s="1217">
        <f t="shared" si="20"/>
        <v>5.587545800000001E-2</v>
      </c>
      <c r="S87" s="1217">
        <f t="shared" si="20"/>
        <v>5.5175426999999992E-2</v>
      </c>
      <c r="T87" s="87"/>
      <c r="U87" s="1226"/>
    </row>
    <row r="88" spans="1:21">
      <c r="A88" s="12" t="s">
        <v>22</v>
      </c>
      <c r="B88" s="215" t="s">
        <v>91</v>
      </c>
      <c r="C88" s="155">
        <v>0.67</v>
      </c>
      <c r="D88" s="155">
        <v>0.55000000000000004</v>
      </c>
      <c r="E88" s="49">
        <v>2022</v>
      </c>
      <c r="F88" s="1215" t="str">
        <f t="shared" si="16"/>
        <v>£m 18/19</v>
      </c>
      <c r="G88" s="1233" t="s">
        <v>55</v>
      </c>
      <c r="H88" s="1225">
        <f t="shared" si="19"/>
        <v>2.0500000000000001E-2</v>
      </c>
      <c r="I88" s="1217">
        <f t="shared" si="19"/>
        <v>1.9E-2</v>
      </c>
      <c r="J88" s="1217">
        <f t="shared" si="19"/>
        <v>1.9199999999999998E-2</v>
      </c>
      <c r="K88" s="1217">
        <f t="shared" si="19"/>
        <v>2.1100000000000001E-2</v>
      </c>
      <c r="L88" s="1217">
        <f t="shared" si="19"/>
        <v>2.29E-2</v>
      </c>
      <c r="M88" s="87"/>
      <c r="N88" s="1226"/>
      <c r="O88" s="1225">
        <f t="shared" si="20"/>
        <v>4.2439449777777784E-2</v>
      </c>
      <c r="P88" s="1217">
        <f t="shared" si="20"/>
        <v>4.2616093333333334E-2</v>
      </c>
      <c r="Q88" s="1217">
        <f t="shared" si="20"/>
        <v>4.909683911111111E-2</v>
      </c>
      <c r="R88" s="1217">
        <f t="shared" si="20"/>
        <v>5.2011518222222233E-2</v>
      </c>
      <c r="S88" s="1217">
        <f t="shared" si="20"/>
        <v>5.158926844444444E-2</v>
      </c>
      <c r="T88" s="87"/>
      <c r="U88" s="1226"/>
    </row>
    <row r="89" spans="1:21">
      <c r="A89" s="12" t="s">
        <v>29</v>
      </c>
      <c r="B89" s="215" t="s">
        <v>29</v>
      </c>
      <c r="C89" s="155">
        <v>1</v>
      </c>
      <c r="D89" s="155">
        <v>0.55000000000000004</v>
      </c>
      <c r="E89" s="49">
        <v>2022</v>
      </c>
      <c r="F89" s="1215" t="str">
        <f t="shared" si="16"/>
        <v>£m 18/19</v>
      </c>
      <c r="G89" s="1233" t="s">
        <v>29</v>
      </c>
      <c r="H89" s="1225">
        <f>INDEX($C$42:$I$51,MATCH($G89,$B$42:$B$51,0),MATCH(H$62,$C$41:$I$41))</f>
        <v>-5.9999999999999995E-4</v>
      </c>
      <c r="I89" s="1217">
        <f t="shared" si="19"/>
        <v>2.12E-2</v>
      </c>
      <c r="J89" s="1217">
        <f t="shared" si="19"/>
        <v>5.0099999999999999E-2</v>
      </c>
      <c r="K89" s="1217">
        <f t="shared" si="19"/>
        <v>4.7300000000000002E-2</v>
      </c>
      <c r="L89" s="1217">
        <f t="shared" si="19"/>
        <v>4.19E-2</v>
      </c>
      <c r="M89" s="87"/>
      <c r="N89" s="1226"/>
      <c r="O89" s="1225">
        <f t="shared" si="20"/>
        <v>7.5718976000000007E-2</v>
      </c>
      <c r="P89" s="1217">
        <f t="shared" si="20"/>
        <v>7.5510080000000007E-2</v>
      </c>
      <c r="Q89" s="1217">
        <f t="shared" si="20"/>
        <v>7.1580223999999998E-2</v>
      </c>
      <c r="R89" s="1217">
        <f t="shared" si="20"/>
        <v>6.9935168000000006E-2</v>
      </c>
      <c r="S89" s="1217">
        <f t="shared" si="20"/>
        <v>7.0313792E-2</v>
      </c>
      <c r="T89" s="87"/>
      <c r="U89" s="1226"/>
    </row>
    <row r="90" spans="1:21">
      <c r="A90" s="12" t="s">
        <v>22</v>
      </c>
      <c r="B90" s="215" t="s">
        <v>92</v>
      </c>
      <c r="C90" s="155">
        <v>0.51</v>
      </c>
      <c r="D90" s="155">
        <v>0.55000000000000004</v>
      </c>
      <c r="E90" s="49">
        <v>2022</v>
      </c>
      <c r="F90" s="1215" t="str">
        <f t="shared" si="16"/>
        <v>£m 18/19</v>
      </c>
      <c r="G90" s="1233" t="s">
        <v>55</v>
      </c>
      <c r="H90" s="1225">
        <f t="shared" si="19"/>
        <v>2.0500000000000001E-2</v>
      </c>
      <c r="I90" s="1217">
        <f t="shared" si="19"/>
        <v>1.9E-2</v>
      </c>
      <c r="J90" s="1217">
        <f t="shared" si="19"/>
        <v>1.9199999999999998E-2</v>
      </c>
      <c r="K90" s="1217">
        <f t="shared" si="19"/>
        <v>2.1100000000000001E-2</v>
      </c>
      <c r="L90" s="1217">
        <f t="shared" si="19"/>
        <v>2.29E-2</v>
      </c>
      <c r="M90" s="87"/>
      <c r="N90" s="1226"/>
      <c r="O90" s="1225">
        <f t="shared" si="20"/>
        <v>4.2439449777777784E-2</v>
      </c>
      <c r="P90" s="1217">
        <f t="shared" si="20"/>
        <v>4.2616093333333334E-2</v>
      </c>
      <c r="Q90" s="1217">
        <f t="shared" si="20"/>
        <v>4.909683911111111E-2</v>
      </c>
      <c r="R90" s="1217">
        <f t="shared" si="20"/>
        <v>5.2011518222222233E-2</v>
      </c>
      <c r="S90" s="1217">
        <f t="shared" si="20"/>
        <v>5.158926844444444E-2</v>
      </c>
      <c r="T90" s="87"/>
      <c r="U90" s="1226"/>
    </row>
    <row r="91" spans="1:21" ht="14" thickBot="1">
      <c r="A91" s="12" t="s">
        <v>22</v>
      </c>
      <c r="B91" s="216" t="s">
        <v>54</v>
      </c>
      <c r="C91" s="208">
        <v>0.64</v>
      </c>
      <c r="D91" s="208">
        <v>0.55000000000000004</v>
      </c>
      <c r="E91" s="217">
        <v>2022</v>
      </c>
      <c r="F91" s="1216" t="str">
        <f t="shared" si="16"/>
        <v>£m 18/19</v>
      </c>
      <c r="G91" s="1234" t="s">
        <v>54</v>
      </c>
      <c r="H91" s="1227">
        <f t="shared" si="19"/>
        <v>1.8184707641684131E-2</v>
      </c>
      <c r="I91" s="1228">
        <f t="shared" si="19"/>
        <v>1.5809503423148775E-2</v>
      </c>
      <c r="J91" s="1228">
        <f t="shared" si="19"/>
        <v>1.8000565597912722E-2</v>
      </c>
      <c r="K91" s="1228">
        <f t="shared" si="19"/>
        <v>2.3276186478151731E-2</v>
      </c>
      <c r="L91" s="1228">
        <f t="shared" si="19"/>
        <v>2.7418061040625063E-2</v>
      </c>
      <c r="M91" s="1229"/>
      <c r="N91" s="1230"/>
      <c r="O91" s="1227">
        <f t="shared" si="20"/>
        <v>4.2439449777777784E-2</v>
      </c>
      <c r="P91" s="1228">
        <f t="shared" si="20"/>
        <v>4.2616093333333334E-2</v>
      </c>
      <c r="Q91" s="1228">
        <f t="shared" si="20"/>
        <v>4.909683911111111E-2</v>
      </c>
      <c r="R91" s="1228">
        <f t="shared" si="20"/>
        <v>5.2011518222222233E-2</v>
      </c>
      <c r="S91" s="1228">
        <f t="shared" si="20"/>
        <v>5.158926844444444E-2</v>
      </c>
      <c r="T91" s="1229"/>
      <c r="U91" s="1230"/>
    </row>
    <row r="92" spans="1:21">
      <c r="I92" s="14"/>
    </row>
    <row r="93" spans="1:21">
      <c r="I93" s="14"/>
    </row>
    <row r="94" spans="1:21">
      <c r="I94" s="14"/>
    </row>
    <row r="95" spans="1:21">
      <c r="B95" s="1"/>
      <c r="D95" s="149"/>
      <c r="E95" s="149"/>
      <c r="F95" s="149"/>
      <c r="G95" s="149"/>
      <c r="H95" s="149"/>
      <c r="I95" s="149"/>
      <c r="J95" s="149"/>
    </row>
    <row r="97" spans="2:14" ht="15.5">
      <c r="B97" s="137"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38" t="s">
        <v>70</v>
      </c>
      <c r="C98" s="87"/>
      <c r="D98" s="87"/>
      <c r="E98" s="139">
        <v>0</v>
      </c>
      <c r="F98" s="139">
        <v>0</v>
      </c>
      <c r="G98" s="139">
        <v>0</v>
      </c>
      <c r="H98" s="139">
        <v>0</v>
      </c>
      <c r="I98" s="139">
        <v>0</v>
      </c>
      <c r="J98" s="1254"/>
    </row>
    <row r="99" spans="2:14">
      <c r="B99" s="138" t="s">
        <v>71</v>
      </c>
      <c r="C99" s="87"/>
      <c r="D99" s="87"/>
      <c r="E99" s="139">
        <v>0</v>
      </c>
      <c r="F99" s="139">
        <v>0</v>
      </c>
      <c r="G99" s="139">
        <v>0</v>
      </c>
      <c r="H99" s="139">
        <v>0</v>
      </c>
      <c r="I99" s="139">
        <v>0</v>
      </c>
      <c r="J99" s="1254"/>
    </row>
    <row r="100" spans="2:14">
      <c r="B100" s="138" t="s">
        <v>72</v>
      </c>
      <c r="C100" s="87"/>
      <c r="D100" s="87"/>
      <c r="E100" s="139">
        <v>0</v>
      </c>
      <c r="F100" s="139">
        <v>0</v>
      </c>
      <c r="G100" s="139">
        <v>0</v>
      </c>
      <c r="H100" s="139">
        <v>0</v>
      </c>
      <c r="I100" s="139">
        <v>0</v>
      </c>
      <c r="J100" s="1255"/>
      <c r="K100" s="112"/>
      <c r="L100" s="112"/>
      <c r="M100" s="112"/>
      <c r="N100" s="112"/>
    </row>
    <row r="101" spans="2:14">
      <c r="B101" s="138" t="s">
        <v>52</v>
      </c>
      <c r="C101" s="87"/>
      <c r="D101" s="87"/>
      <c r="E101" s="139">
        <v>0</v>
      </c>
      <c r="F101" s="139">
        <v>0</v>
      </c>
      <c r="G101" s="139">
        <v>0</v>
      </c>
      <c r="H101" s="139">
        <v>0</v>
      </c>
      <c r="I101" s="139">
        <v>0</v>
      </c>
      <c r="J101" s="1254"/>
    </row>
    <row r="102" spans="2:14">
      <c r="B102" s="138" t="s">
        <v>4</v>
      </c>
      <c r="C102" s="87"/>
      <c r="D102" s="87"/>
      <c r="E102" s="139">
        <v>0.95193542636815776</v>
      </c>
      <c r="F102" s="139">
        <v>0.95193542636815776</v>
      </c>
      <c r="G102" s="139">
        <v>0.95193542636815776</v>
      </c>
      <c r="H102" s="139">
        <v>0.95193542636815776</v>
      </c>
      <c r="I102" s="139">
        <v>0.95193542636815776</v>
      </c>
      <c r="J102" s="1254"/>
    </row>
    <row r="103" spans="2:14">
      <c r="B103" s="138" t="s">
        <v>73</v>
      </c>
      <c r="C103" s="87"/>
      <c r="D103" s="87"/>
      <c r="E103" s="139">
        <v>4.1422258913848848</v>
      </c>
      <c r="F103" s="139">
        <v>4.1422258913848848</v>
      </c>
      <c r="G103" s="139">
        <v>4.1422258913848848</v>
      </c>
      <c r="H103" s="139">
        <v>4.1422258913848848</v>
      </c>
      <c r="I103" s="139">
        <v>4.1422258913848848</v>
      </c>
      <c r="J103" s="1254"/>
    </row>
    <row r="104" spans="2:14">
      <c r="B104" s="138" t="s">
        <v>74</v>
      </c>
      <c r="C104" s="87"/>
      <c r="D104" s="87"/>
      <c r="E104" s="139">
        <v>0</v>
      </c>
      <c r="F104" s="139">
        <v>0</v>
      </c>
      <c r="G104" s="139">
        <v>0</v>
      </c>
      <c r="H104" s="139">
        <v>0</v>
      </c>
      <c r="I104" s="139">
        <v>0</v>
      </c>
      <c r="J104" s="1254"/>
    </row>
    <row r="105" spans="2:14">
      <c r="B105" s="138" t="s">
        <v>75</v>
      </c>
      <c r="C105" s="87"/>
      <c r="D105" s="87"/>
      <c r="E105" s="139">
        <v>0</v>
      </c>
      <c r="F105" s="139">
        <v>0</v>
      </c>
      <c r="G105" s="139">
        <v>0</v>
      </c>
      <c r="H105" s="139">
        <v>0</v>
      </c>
      <c r="I105" s="139">
        <v>0</v>
      </c>
      <c r="J105" s="1254"/>
    </row>
    <row r="106" spans="2:14">
      <c r="B106" s="138" t="s">
        <v>76</v>
      </c>
      <c r="C106" s="87"/>
      <c r="D106" s="87"/>
      <c r="E106" s="139">
        <v>1.2350000000000001</v>
      </c>
      <c r="F106" s="139">
        <v>0</v>
      </c>
      <c r="G106" s="139">
        <v>0</v>
      </c>
      <c r="H106" s="139">
        <v>0</v>
      </c>
      <c r="I106" s="139">
        <v>0</v>
      </c>
      <c r="J106" s="1254"/>
    </row>
    <row r="107" spans="2:14">
      <c r="B107" s="138" t="s">
        <v>50</v>
      </c>
      <c r="C107" s="87"/>
      <c r="D107" s="87"/>
      <c r="E107" s="139">
        <v>2.3050000000000002</v>
      </c>
      <c r="F107" s="139">
        <v>0</v>
      </c>
      <c r="G107" s="139">
        <v>0</v>
      </c>
      <c r="H107" s="139">
        <v>0</v>
      </c>
      <c r="I107" s="139">
        <v>0</v>
      </c>
      <c r="J107" s="1254"/>
    </row>
    <row r="108" spans="2:14">
      <c r="B108" s="138" t="s">
        <v>51</v>
      </c>
      <c r="C108" s="87"/>
      <c r="D108" s="87"/>
      <c r="E108" s="139">
        <v>1.38</v>
      </c>
      <c r="F108" s="139">
        <v>0</v>
      </c>
      <c r="G108" s="139">
        <v>0</v>
      </c>
      <c r="H108" s="139">
        <v>0</v>
      </c>
      <c r="I108" s="139">
        <v>0</v>
      </c>
      <c r="J108" s="1254"/>
    </row>
    <row r="109" spans="2:14">
      <c r="B109" s="138" t="s">
        <v>77</v>
      </c>
      <c r="C109" s="87"/>
      <c r="D109" s="87"/>
      <c r="E109" s="139">
        <v>1.38</v>
      </c>
      <c r="F109" s="139">
        <v>0</v>
      </c>
      <c r="G109" s="139">
        <v>0</v>
      </c>
      <c r="H109" s="139">
        <v>0</v>
      </c>
      <c r="I109" s="139">
        <v>0</v>
      </c>
      <c r="J109" s="1254"/>
    </row>
    <row r="110" spans="2:14">
      <c r="B110" s="138" t="s">
        <v>78</v>
      </c>
      <c r="C110" s="87"/>
      <c r="D110" s="87"/>
      <c r="E110" s="139">
        <v>0.69</v>
      </c>
      <c r="F110" s="139">
        <v>0</v>
      </c>
      <c r="G110" s="139">
        <v>0</v>
      </c>
      <c r="H110" s="139">
        <v>0</v>
      </c>
      <c r="I110" s="139">
        <v>0</v>
      </c>
      <c r="J110" s="1254"/>
    </row>
    <row r="111" spans="2:14">
      <c r="B111" s="138" t="s">
        <v>79</v>
      </c>
      <c r="C111" s="87"/>
      <c r="D111" s="87"/>
      <c r="E111" s="139">
        <v>1.1499999999999999</v>
      </c>
      <c r="F111" s="139">
        <v>0</v>
      </c>
      <c r="G111" s="139">
        <v>0</v>
      </c>
      <c r="H111" s="139">
        <v>0</v>
      </c>
      <c r="I111" s="139">
        <v>0</v>
      </c>
      <c r="J111" s="1254"/>
    </row>
    <row r="112" spans="2:14">
      <c r="B112" s="138" t="s">
        <v>80</v>
      </c>
      <c r="C112" s="1247">
        <v>0.23941679646380071</v>
      </c>
      <c r="D112" s="1247">
        <v>0.23941679646380071</v>
      </c>
      <c r="E112" s="1247">
        <v>0.23941679646380071</v>
      </c>
      <c r="F112" s="1247">
        <v>0.23941679646380071</v>
      </c>
      <c r="G112" s="1247">
        <v>0.23941679646380071</v>
      </c>
      <c r="H112" s="87"/>
      <c r="I112" s="87"/>
      <c r="J112" s="1254"/>
    </row>
    <row r="113" spans="2:12">
      <c r="B113" s="138" t="s">
        <v>81</v>
      </c>
      <c r="C113" s="1247">
        <v>-1.1368683772161603E-15</v>
      </c>
      <c r="D113" s="1247">
        <v>-1.1368683772161603E-15</v>
      </c>
      <c r="E113" s="1247">
        <v>-1.1368683772161603E-15</v>
      </c>
      <c r="F113" s="1247">
        <v>-1.1368683772161603E-15</v>
      </c>
      <c r="G113" s="1247">
        <v>-1.1368683772161603E-15</v>
      </c>
      <c r="H113" s="87"/>
      <c r="I113" s="87"/>
      <c r="J113" s="1254"/>
    </row>
    <row r="114" spans="2:12">
      <c r="B114" s="138" t="s">
        <v>82</v>
      </c>
      <c r="C114" s="1247">
        <v>-7.0993072540795777E-3</v>
      </c>
      <c r="D114" s="1247">
        <v>-7.0993072540795777E-3</v>
      </c>
      <c r="E114" s="1247">
        <v>-7.0993072540795777E-3</v>
      </c>
      <c r="F114" s="1247">
        <v>-7.0993072540795777E-3</v>
      </c>
      <c r="G114" s="1247">
        <v>-7.0993072540795777E-3</v>
      </c>
      <c r="H114" s="87"/>
      <c r="I114" s="87"/>
      <c r="J114" s="1254"/>
    </row>
    <row r="115" spans="2:12">
      <c r="B115" s="138" t="s">
        <v>83</v>
      </c>
      <c r="C115" s="1247">
        <v>-7.2862331602607357E-3</v>
      </c>
      <c r="D115" s="1247">
        <v>-7.2862331602607357E-3</v>
      </c>
      <c r="E115" s="1247">
        <v>-7.2862331602607357E-3</v>
      </c>
      <c r="F115" s="1247">
        <v>-7.2862331602607357E-3</v>
      </c>
      <c r="G115" s="1247">
        <v>-7.2862331602607357E-3</v>
      </c>
      <c r="H115" s="87"/>
      <c r="I115" s="87"/>
      <c r="J115" s="1254"/>
    </row>
    <row r="116" spans="2:12">
      <c r="B116" s="138" t="s">
        <v>84</v>
      </c>
      <c r="C116" s="1248">
        <v>1.149006</v>
      </c>
      <c r="D116" s="1248">
        <v>1.149006</v>
      </c>
      <c r="E116" s="1247">
        <v>1.149006</v>
      </c>
      <c r="F116" s="1247">
        <v>1.149006</v>
      </c>
      <c r="G116" s="1248">
        <v>1.149006</v>
      </c>
      <c r="H116" s="87"/>
      <c r="I116" s="87"/>
      <c r="J116" s="1254"/>
    </row>
    <row r="117" spans="2:12">
      <c r="B117" s="138" t="s">
        <v>85</v>
      </c>
      <c r="C117" s="1247">
        <v>0</v>
      </c>
      <c r="D117" s="1247">
        <v>0</v>
      </c>
      <c r="E117" s="1247">
        <v>0</v>
      </c>
      <c r="F117" s="1247">
        <v>0</v>
      </c>
      <c r="G117" s="1247">
        <v>0</v>
      </c>
      <c r="H117" s="87"/>
      <c r="I117" s="87"/>
      <c r="J117" s="1254"/>
    </row>
    <row r="118" spans="2:12">
      <c r="B118" s="138" t="s">
        <v>86</v>
      </c>
      <c r="C118" s="1247">
        <v>0</v>
      </c>
      <c r="D118" s="1247">
        <v>0</v>
      </c>
      <c r="E118" s="1247">
        <v>0</v>
      </c>
      <c r="F118" s="1247">
        <v>0</v>
      </c>
      <c r="G118" s="1247">
        <v>0</v>
      </c>
      <c r="H118" s="87"/>
      <c r="I118" s="87"/>
      <c r="J118" s="1254"/>
    </row>
    <row r="119" spans="2:12">
      <c r="B119" s="138" t="s">
        <v>87</v>
      </c>
      <c r="C119" s="1247">
        <v>0</v>
      </c>
      <c r="D119" s="1247">
        <v>0</v>
      </c>
      <c r="E119" s="1247">
        <v>0</v>
      </c>
      <c r="F119" s="1247">
        <v>0</v>
      </c>
      <c r="G119" s="1247">
        <v>0</v>
      </c>
      <c r="H119" s="87"/>
      <c r="I119" s="87"/>
      <c r="J119" s="1254"/>
    </row>
    <row r="120" spans="2:12">
      <c r="B120" s="138" t="s">
        <v>88</v>
      </c>
      <c r="C120" s="1247">
        <v>-4.3390000000000004</v>
      </c>
      <c r="D120" s="1247">
        <v>-4.3390000000000004</v>
      </c>
      <c r="E120" s="1247">
        <v>-4.3390000000000004</v>
      </c>
      <c r="F120" s="1247">
        <v>-4.3390000000000004</v>
      </c>
      <c r="G120" s="1247">
        <v>-4.3390000000000004</v>
      </c>
      <c r="H120" s="87"/>
      <c r="I120" s="87"/>
      <c r="J120" s="1254"/>
    </row>
    <row r="121" spans="2:12">
      <c r="B121" s="138" t="s">
        <v>89</v>
      </c>
      <c r="C121" s="1247">
        <v>0</v>
      </c>
      <c r="D121" s="1247">
        <v>0</v>
      </c>
      <c r="E121" s="1247">
        <v>0</v>
      </c>
      <c r="F121" s="1247">
        <v>0</v>
      </c>
      <c r="G121" s="1247">
        <v>0</v>
      </c>
      <c r="H121" s="87"/>
      <c r="I121" s="87"/>
      <c r="J121" s="1254"/>
    </row>
    <row r="122" spans="2:12">
      <c r="B122" s="138" t="s">
        <v>90</v>
      </c>
      <c r="C122" s="1247">
        <v>-4.3390000000000004</v>
      </c>
      <c r="D122" s="1247">
        <v>-4.3390000000000004</v>
      </c>
      <c r="E122" s="1247">
        <v>-4.3390000000000004</v>
      </c>
      <c r="F122" s="1247">
        <v>-4.3390000000000004</v>
      </c>
      <c r="G122" s="1247">
        <v>-4.3390000000000004</v>
      </c>
      <c r="H122" s="87"/>
      <c r="I122" s="87"/>
      <c r="J122" s="1254"/>
    </row>
    <row r="123" spans="2:12">
      <c r="B123" s="138" t="s">
        <v>91</v>
      </c>
      <c r="C123" s="1247">
        <v>-13</v>
      </c>
      <c r="D123" s="1247">
        <v>-13</v>
      </c>
      <c r="E123" s="1247">
        <v>-13</v>
      </c>
      <c r="F123" s="1247">
        <v>-13</v>
      </c>
      <c r="G123" s="1247">
        <v>-13</v>
      </c>
      <c r="H123" s="87"/>
      <c r="I123" s="87"/>
      <c r="J123" s="1254"/>
    </row>
    <row r="124" spans="2:12">
      <c r="B124" s="138" t="s">
        <v>29</v>
      </c>
      <c r="C124" s="1247">
        <v>0</v>
      </c>
      <c r="D124" s="1247">
        <v>0</v>
      </c>
      <c r="E124" s="1247">
        <v>0</v>
      </c>
      <c r="F124" s="1247">
        <v>0</v>
      </c>
      <c r="G124" s="1247">
        <v>0</v>
      </c>
      <c r="H124" s="87"/>
      <c r="I124" s="87"/>
      <c r="J124" s="1254"/>
    </row>
    <row r="125" spans="2:12">
      <c r="B125" s="138" t="s">
        <v>92</v>
      </c>
      <c r="C125" s="1247">
        <v>1</v>
      </c>
      <c r="D125" s="1247">
        <v>1</v>
      </c>
      <c r="E125" s="1247">
        <v>1</v>
      </c>
      <c r="F125" s="1247">
        <v>1</v>
      </c>
      <c r="G125" s="1247">
        <v>1</v>
      </c>
      <c r="H125" s="87"/>
      <c r="I125" s="87"/>
      <c r="J125" s="1254"/>
    </row>
    <row r="126" spans="2:12">
      <c r="B126" s="140" t="s">
        <v>54</v>
      </c>
      <c r="C126" s="1247">
        <v>4.3620000000000001</v>
      </c>
      <c r="D126" s="1247">
        <v>4.3620000000000001</v>
      </c>
      <c r="E126" s="1249">
        <v>4.3620000000000001</v>
      </c>
      <c r="F126" s="1249">
        <v>4.3620000000000001</v>
      </c>
      <c r="G126" s="1249">
        <v>4.3620000000000001</v>
      </c>
      <c r="H126" s="87"/>
      <c r="I126" s="87"/>
      <c r="J126" s="1254"/>
    </row>
    <row r="127" spans="2:12">
      <c r="B127" s="34"/>
    </row>
    <row r="128" spans="2:12">
      <c r="B128" s="173" t="str">
        <f>LEFT('RFPR cover'!C8,2)</f>
        <v>GD</v>
      </c>
      <c r="C128" s="257"/>
      <c r="D128" s="257"/>
      <c r="E128" s="257"/>
      <c r="F128" s="257"/>
      <c r="G128" s="257"/>
      <c r="H128" s="257"/>
      <c r="I128" s="257"/>
      <c r="J128" s="257"/>
      <c r="K128" s="257"/>
      <c r="L128" s="174"/>
    </row>
    <row r="129" spans="1:14">
      <c r="A129" s="36"/>
      <c r="B129" s="68" t="s">
        <v>94</v>
      </c>
      <c r="C129" s="69"/>
      <c r="D129" s="69"/>
      <c r="E129" s="69"/>
      <c r="F129" s="67"/>
      <c r="G129" s="67"/>
      <c r="H129" s="67"/>
      <c r="I129" s="67"/>
      <c r="J129" s="67"/>
      <c r="K129" s="67"/>
      <c r="L129" s="67"/>
      <c r="M129" s="67"/>
      <c r="N129" s="67"/>
    </row>
    <row r="130" spans="1:14">
      <c r="A130" s="36"/>
      <c r="B130" s="110"/>
      <c r="C130" s="111"/>
      <c r="D130" s="111"/>
      <c r="E130" s="111"/>
      <c r="F130" s="112"/>
      <c r="G130" s="112"/>
      <c r="H130" s="112"/>
      <c r="I130" s="112"/>
    </row>
    <row r="131" spans="1:14">
      <c r="A131" s="35"/>
      <c r="B131" s="258" t="s">
        <v>95</v>
      </c>
      <c r="C131" s="37"/>
      <c r="D131" s="37"/>
      <c r="E131" s="281" t="b">
        <f>OR((LEFT('RFPR cover'!$C$8,2)=Data!G131),'RFPR cover'!$C$7=Data!G131)</f>
        <v>0</v>
      </c>
      <c r="F131" s="360">
        <f t="shared" ref="F131:F133" si="22">IF(E131,1,0)</f>
        <v>0</v>
      </c>
      <c r="G131" s="282" t="str">
        <f>B141</f>
        <v>ED</v>
      </c>
    </row>
    <row r="132" spans="1:14" ht="16.5" customHeight="1">
      <c r="A132" s="35"/>
      <c r="B132" s="114" t="str">
        <f>IF(SUM($F$131:$F$138)=0,"",CHOOSE(MATCH(TRUE,$E$131:$E$138,0),B142,B153,B164,E164,B175,E175,B185,E185)&amp;"")</f>
        <v>Customer Satisfaction Survey ODI - (SpC 4.2)</v>
      </c>
      <c r="C132" s="37"/>
      <c r="D132" s="37"/>
      <c r="E132" s="340" t="b">
        <f>OR((LEFT('RFPR cover'!$C$8,2)=Data!G132),'RFPR cover'!$C$7=Data!G132)</f>
        <v>1</v>
      </c>
      <c r="F132" s="271">
        <f t="shared" si="22"/>
        <v>1</v>
      </c>
      <c r="G132" s="272" t="str">
        <f>B152</f>
        <v>GD</v>
      </c>
    </row>
    <row r="133" spans="1:14">
      <c r="A133" s="35"/>
      <c r="B133" s="114" t="str">
        <f t="shared" ref="B133:B139" si="23">IF(SUM($F$131:$F$138)=0,"",CHOOSE(MATCH(TRUE,$E$131:$E$138,0),B143,B154,B165,E165,B176,E176,B186,E186)&amp;"")</f>
        <v>Complaints metric ODI - (SpC 4.3)</v>
      </c>
      <c r="C133" s="37"/>
      <c r="D133" s="37"/>
      <c r="E133" s="340" t="b">
        <f>OR((LEFT('RFPR cover'!$C$8,2)=Data!G133),'RFPR cover'!$C$7=Data!G133)</f>
        <v>0</v>
      </c>
      <c r="F133" s="271">
        <f t="shared" si="22"/>
        <v>0</v>
      </c>
      <c r="G133" s="273" t="str">
        <f>B163</f>
        <v>NGGT (TO)</v>
      </c>
    </row>
    <row r="134" spans="1:14" ht="27">
      <c r="A134" s="35"/>
      <c r="B134" s="114" t="str">
        <f t="shared" si="23"/>
        <v>Unplanned Interruption Mean Duration ODI [NGN, SGN and WWU] - (SpC 4.5)</v>
      </c>
      <c r="C134" s="37"/>
      <c r="D134" s="37"/>
      <c r="E134" s="340" t="b">
        <f>OR((LEFT('RFPR cover'!$C$8,2)=Data!G134),'RFPR cover'!$C$7=Data!G134)</f>
        <v>0</v>
      </c>
      <c r="F134" s="271">
        <f>IF(E134,1,0)</f>
        <v>0</v>
      </c>
      <c r="G134" s="273" t="str">
        <f>E163</f>
        <v>NGGT (TO+SO)</v>
      </c>
    </row>
    <row r="135" spans="1:14">
      <c r="A135" s="35"/>
      <c r="B135" s="114" t="str">
        <f t="shared" si="23"/>
        <v>Unplanned Interruption Mean Duration ODI [Cadent only]- (SpC 4.6)</v>
      </c>
      <c r="C135" s="37"/>
      <c r="D135" s="37"/>
      <c r="E135" s="340" t="b">
        <f>OR((LEFT('RFPR cover'!$C$8,2)=Data!G135),'RFPR cover'!$C$7=Data!G135)</f>
        <v>0</v>
      </c>
      <c r="F135" s="271">
        <f>IF(E135,1,0)</f>
        <v>0</v>
      </c>
      <c r="G135" s="273" t="str">
        <f>B174</f>
        <v>NGET (TO)</v>
      </c>
    </row>
    <row r="136" spans="1:14">
      <c r="A136" s="35"/>
      <c r="B136" s="114" t="str">
        <f t="shared" si="23"/>
        <v>Shrinkage Management ODI- (SpC 4.4)</v>
      </c>
      <c r="C136" s="37"/>
      <c r="D136" s="37"/>
      <c r="E136" s="340" t="b">
        <f>OR((LEFT('RFPR cover'!$C$8,2)=Data!G136),'RFPR cover'!$C$7=Data!G136)</f>
        <v>0</v>
      </c>
      <c r="F136" s="271">
        <f t="shared" ref="F136" si="24">IF(E136,1,0)</f>
        <v>0</v>
      </c>
      <c r="G136" s="273" t="str">
        <f>E174</f>
        <v>ESO</v>
      </c>
    </row>
    <row r="137" spans="1:14" ht="27">
      <c r="A137" s="35"/>
      <c r="B137" s="114" t="str">
        <f t="shared" si="23"/>
        <v>Collaborative streetworks ODI [Cadent Lon &amp; EoE, SGN So only]- (SpC 4.7)</v>
      </c>
      <c r="C137" s="37"/>
      <c r="D137" s="37"/>
      <c r="E137" s="340" t="b">
        <f>OR((LEFT('RFPR cover'!$C$8,2)=Data!G137),'RFPR cover'!$C$7=Data!G137)</f>
        <v>0</v>
      </c>
      <c r="F137" s="271">
        <f>IF(E137,1,0)</f>
        <v>0</v>
      </c>
      <c r="G137" s="273" t="str">
        <f>B184</f>
        <v>SPT</v>
      </c>
    </row>
    <row r="138" spans="1:14">
      <c r="A138" s="35"/>
      <c r="B138" s="114" t="str">
        <f t="shared" si="23"/>
        <v/>
      </c>
      <c r="C138" s="37"/>
      <c r="D138" s="37"/>
      <c r="E138" s="274" t="b">
        <f>OR((LEFT('RFPR cover'!$C$8,2)=Data!G138),'RFPR cover'!$C$7=Data!G138)</f>
        <v>0</v>
      </c>
      <c r="F138" s="275">
        <f>IF(E138,1,0)</f>
        <v>0</v>
      </c>
      <c r="G138" s="276" t="s">
        <v>54</v>
      </c>
    </row>
    <row r="139" spans="1:14">
      <c r="A139" s="35"/>
      <c r="B139" s="114" t="str">
        <f t="shared" si="23"/>
        <v/>
      </c>
      <c r="C139" s="37"/>
      <c r="D139" s="37"/>
    </row>
    <row r="140" spans="1:14">
      <c r="A140" s="35"/>
      <c r="B140" s="37"/>
      <c r="C140" s="37"/>
      <c r="D140" s="37"/>
      <c r="E140" s="11"/>
      <c r="F140" s="113"/>
    </row>
    <row r="141" spans="1:14">
      <c r="A141" s="35"/>
      <c r="B141" s="1384" t="s">
        <v>19</v>
      </c>
      <c r="C141" s="1385"/>
      <c r="D141" s="37"/>
      <c r="E141" s="37"/>
    </row>
    <row r="142" spans="1:14">
      <c r="A142" s="35"/>
      <c r="B142" s="1403" t="s">
        <v>96</v>
      </c>
      <c r="C142" s="1404"/>
      <c r="D142" s="37"/>
      <c r="E142" s="37"/>
    </row>
    <row r="143" spans="1:14">
      <c r="A143" s="35"/>
      <c r="B143" s="1382" t="s">
        <v>97</v>
      </c>
      <c r="C143" s="1383"/>
      <c r="D143" s="37"/>
      <c r="E143" s="37"/>
    </row>
    <row r="144" spans="1:14">
      <c r="A144" s="35"/>
      <c r="B144" s="1382" t="s">
        <v>98</v>
      </c>
      <c r="C144" s="1383"/>
      <c r="D144" s="37"/>
      <c r="E144" s="37"/>
    </row>
    <row r="145" spans="1:7">
      <c r="A145" s="35"/>
      <c r="B145" s="1382" t="s">
        <v>99</v>
      </c>
      <c r="C145" s="1383"/>
      <c r="D145" s="37"/>
      <c r="E145" s="37"/>
    </row>
    <row r="146" spans="1:7">
      <c r="A146" s="35"/>
      <c r="B146" s="1382" t="s">
        <v>100</v>
      </c>
      <c r="C146" s="1383"/>
      <c r="D146" s="37"/>
      <c r="E146" s="37"/>
    </row>
    <row r="147" spans="1:7">
      <c r="A147" s="35"/>
      <c r="B147" s="1382" t="s">
        <v>101</v>
      </c>
      <c r="C147" s="1383"/>
      <c r="D147" s="37"/>
      <c r="E147" s="37"/>
    </row>
    <row r="148" spans="1:7">
      <c r="A148" s="35"/>
      <c r="B148" s="1382" t="s">
        <v>102</v>
      </c>
      <c r="C148" s="1383"/>
      <c r="D148" s="37"/>
      <c r="E148" s="37"/>
    </row>
    <row r="149" spans="1:7">
      <c r="A149" s="35"/>
      <c r="B149" s="1399" t="s">
        <v>103</v>
      </c>
      <c r="C149" s="1400"/>
      <c r="D149" s="37"/>
      <c r="E149" s="37"/>
    </row>
    <row r="150" spans="1:7">
      <c r="A150" s="35"/>
      <c r="B150" s="37"/>
      <c r="C150" s="37"/>
      <c r="D150" s="37"/>
      <c r="E150" s="37"/>
    </row>
    <row r="151" spans="1:7">
      <c r="A151" s="35"/>
      <c r="B151" s="37"/>
      <c r="C151" s="37"/>
      <c r="D151" s="37"/>
      <c r="E151" s="37"/>
    </row>
    <row r="152" spans="1:7">
      <c r="A152" s="35"/>
      <c r="B152" s="1384" t="s">
        <v>25</v>
      </c>
      <c r="C152" s="1385"/>
      <c r="D152" s="37"/>
      <c r="E152" s="37"/>
    </row>
    <row r="153" spans="1:7">
      <c r="A153" s="35"/>
      <c r="B153" s="1403" t="s">
        <v>104</v>
      </c>
      <c r="C153" s="1404"/>
      <c r="E153" s="37"/>
    </row>
    <row r="154" spans="1:7">
      <c r="A154" s="35"/>
      <c r="B154" s="1382" t="s">
        <v>105</v>
      </c>
      <c r="C154" s="1383"/>
      <c r="D154" s="37"/>
      <c r="E154" s="37"/>
    </row>
    <row r="155" spans="1:7" ht="25.5" customHeight="1">
      <c r="A155" s="35"/>
      <c r="B155" s="1382" t="s">
        <v>106</v>
      </c>
      <c r="C155" s="1383"/>
      <c r="D155" s="37"/>
      <c r="E155" s="37"/>
      <c r="G155" t="s">
        <v>107</v>
      </c>
    </row>
    <row r="156" spans="1:7" ht="25.5" customHeight="1">
      <c r="A156" s="35"/>
      <c r="B156" s="1382" t="s">
        <v>108</v>
      </c>
      <c r="C156" s="1383"/>
      <c r="D156" s="37"/>
      <c r="E156" s="37"/>
    </row>
    <row r="157" spans="1:7" ht="14.25" customHeight="1">
      <c r="A157" s="35"/>
      <c r="B157" s="1382" t="s">
        <v>109</v>
      </c>
      <c r="C157" s="1383"/>
      <c r="D157" s="37"/>
      <c r="E157" s="37"/>
    </row>
    <row r="158" spans="1:7" ht="25.5" customHeight="1">
      <c r="A158" s="35"/>
      <c r="B158" s="1382" t="s">
        <v>110</v>
      </c>
      <c r="C158" s="1383"/>
      <c r="D158" s="37"/>
      <c r="E158" s="37"/>
    </row>
    <row r="159" spans="1:7" ht="12" customHeight="1">
      <c r="A159" s="35"/>
      <c r="B159" s="1382"/>
      <c r="C159" s="1383"/>
      <c r="D159" s="37"/>
      <c r="E159" s="37"/>
    </row>
    <row r="160" spans="1:7">
      <c r="A160" s="35"/>
      <c r="B160" s="1399"/>
      <c r="C160" s="1400"/>
      <c r="D160" s="37"/>
      <c r="E160" s="37"/>
    </row>
    <row r="161" spans="1:9">
      <c r="A161" s="35"/>
      <c r="B161" s="37"/>
      <c r="C161" s="37"/>
      <c r="D161" s="37"/>
      <c r="E161" s="37"/>
    </row>
    <row r="162" spans="1:9">
      <c r="A162" s="35"/>
      <c r="B162" s="37"/>
      <c r="C162" s="37"/>
      <c r="D162" s="37"/>
      <c r="E162" s="37"/>
    </row>
    <row r="163" spans="1:9" ht="12.75" customHeight="1">
      <c r="A163" s="35"/>
      <c r="B163" s="1367" t="s">
        <v>88</v>
      </c>
      <c r="C163" s="1368"/>
      <c r="D163" s="37"/>
      <c r="E163" s="1406" t="s">
        <v>90</v>
      </c>
      <c r="F163" s="1406"/>
      <c r="G163" s="1406"/>
      <c r="H163" s="1407"/>
      <c r="I163" s="13"/>
    </row>
    <row r="164" spans="1:9" ht="12.75" customHeight="1">
      <c r="A164" s="35"/>
      <c r="B164" s="1403" t="s">
        <v>111</v>
      </c>
      <c r="C164" s="1404"/>
      <c r="E164" s="1389"/>
      <c r="F164" s="1390"/>
      <c r="G164" s="1390"/>
      <c r="H164" s="1390"/>
      <c r="I164" s="109"/>
    </row>
    <row r="165" spans="1:9" ht="12.75" customHeight="1">
      <c r="A165" s="35"/>
      <c r="B165" s="1382" t="s">
        <v>112</v>
      </c>
      <c r="C165" s="1383"/>
      <c r="E165" s="1389"/>
      <c r="F165" s="1390"/>
      <c r="G165" s="1390"/>
      <c r="H165" s="1390"/>
      <c r="I165" s="109"/>
    </row>
    <row r="166" spans="1:9" ht="12.75" customHeight="1">
      <c r="A166" s="35"/>
      <c r="B166" s="1382"/>
      <c r="C166" s="1383"/>
      <c r="D166" s="37"/>
      <c r="E166" s="1408" t="s">
        <v>111</v>
      </c>
      <c r="F166" s="1408"/>
      <c r="G166" s="1408"/>
      <c r="H166" s="1408"/>
      <c r="I166" s="109"/>
    </row>
    <row r="167" spans="1:9" ht="12.75" customHeight="1">
      <c r="A167" s="35"/>
      <c r="B167" s="1382"/>
      <c r="C167" s="1383"/>
      <c r="D167" s="37"/>
      <c r="E167" s="1409" t="s">
        <v>112</v>
      </c>
      <c r="F167" s="1409"/>
      <c r="G167" s="1409"/>
      <c r="H167" s="1409"/>
      <c r="I167" s="109"/>
    </row>
    <row r="168" spans="1:9" ht="12.75" customHeight="1">
      <c r="A168" s="35"/>
      <c r="B168" s="1382"/>
      <c r="C168" s="1383"/>
      <c r="D168" s="37"/>
      <c r="E168" s="1405"/>
      <c r="F168" s="1405"/>
      <c r="G168" s="1405"/>
      <c r="H168" s="1405"/>
      <c r="I168" s="109"/>
    </row>
    <row r="169" spans="1:9" ht="12.75" customHeight="1">
      <c r="A169" s="35"/>
      <c r="B169" s="1382"/>
      <c r="C169" s="1383"/>
      <c r="D169" s="37"/>
      <c r="E169" s="1405"/>
      <c r="F169" s="1405"/>
      <c r="G169" s="1405"/>
      <c r="H169" s="1405"/>
      <c r="I169" s="109"/>
    </row>
    <row r="170" spans="1:9" ht="12.75" customHeight="1">
      <c r="A170" s="35"/>
      <c r="B170" s="1382"/>
      <c r="C170" s="1383"/>
      <c r="D170" s="37"/>
      <c r="E170" s="1368"/>
      <c r="F170" s="1368"/>
      <c r="G170" s="1368"/>
      <c r="H170" s="1368"/>
      <c r="I170" s="109"/>
    </row>
    <row r="171" spans="1:9" ht="12" customHeight="1">
      <c r="A171" s="35"/>
      <c r="B171" s="1399"/>
      <c r="C171" s="1400"/>
      <c r="D171" s="37"/>
      <c r="E171" s="1385"/>
      <c r="F171" s="1385"/>
      <c r="G171" s="1385"/>
      <c r="H171" s="1385"/>
      <c r="I171" s="109"/>
    </row>
    <row r="172" spans="1:9">
      <c r="A172" s="35"/>
      <c r="B172" s="37"/>
      <c r="C172" s="37"/>
      <c r="D172" s="37"/>
      <c r="E172" s="37"/>
    </row>
    <row r="173" spans="1:9">
      <c r="A173" s="35"/>
      <c r="B173" s="37"/>
      <c r="C173" s="37"/>
      <c r="D173" s="37"/>
      <c r="E173" s="37"/>
    </row>
    <row r="174" spans="1:9">
      <c r="A174" s="35"/>
      <c r="B174" s="1401" t="s">
        <v>91</v>
      </c>
      <c r="C174" s="1402"/>
      <c r="D174" s="37"/>
      <c r="E174" s="1367" t="s">
        <v>29</v>
      </c>
      <c r="F174" s="1367"/>
      <c r="G174" s="1367"/>
      <c r="H174" s="1368"/>
      <c r="I174" s="13"/>
    </row>
    <row r="175" spans="1:9" ht="13.5" customHeight="1">
      <c r="A175" s="35"/>
      <c r="B175" s="1403" t="s">
        <v>113</v>
      </c>
      <c r="C175" s="1404"/>
      <c r="E175" s="1384" t="s">
        <v>114</v>
      </c>
      <c r="F175" s="1412"/>
      <c r="G175" s="1412"/>
      <c r="H175" s="1413"/>
      <c r="I175" s="109"/>
    </row>
    <row r="176" spans="1:9" ht="12.75" customHeight="1">
      <c r="A176" s="35"/>
      <c r="B176" s="1382" t="s">
        <v>115</v>
      </c>
      <c r="C176" s="1383"/>
      <c r="E176" s="1414"/>
      <c r="F176" s="1414"/>
      <c r="G176" s="1414"/>
      <c r="H176" s="1415"/>
      <c r="I176" s="109"/>
    </row>
    <row r="177" spans="1:9" ht="13.5" customHeight="1">
      <c r="A177" s="35"/>
      <c r="B177" s="1382" t="s">
        <v>116</v>
      </c>
      <c r="C177" s="1383"/>
      <c r="E177" s="1365"/>
      <c r="F177" s="1365"/>
      <c r="G177" s="1365"/>
      <c r="H177" s="1366"/>
      <c r="I177" s="109"/>
    </row>
    <row r="178" spans="1:9" ht="12.75" customHeight="1">
      <c r="A178" s="35"/>
      <c r="B178" s="1382" t="s">
        <v>117</v>
      </c>
      <c r="C178" s="1383"/>
      <c r="E178" s="1365"/>
      <c r="F178" s="1365"/>
      <c r="G178" s="1365"/>
      <c r="H178" s="1366"/>
      <c r="I178" s="109"/>
    </row>
    <row r="179" spans="1:9" ht="13.5" customHeight="1">
      <c r="A179" s="35"/>
      <c r="B179" s="1382" t="s">
        <v>118</v>
      </c>
      <c r="C179" s="1383"/>
      <c r="E179" s="1365"/>
      <c r="F179" s="1365"/>
      <c r="G179" s="1365"/>
      <c r="H179" s="1366"/>
      <c r="I179" s="109"/>
    </row>
    <row r="180" spans="1:9" ht="13.5" customHeight="1">
      <c r="A180" s="35"/>
      <c r="B180" s="1382" t="s">
        <v>119</v>
      </c>
      <c r="C180" s="1383"/>
      <c r="E180" s="1365"/>
      <c r="F180" s="1365"/>
      <c r="G180" s="1365"/>
      <c r="H180" s="1366"/>
      <c r="I180" s="109"/>
    </row>
    <row r="181" spans="1:9">
      <c r="A181" s="35"/>
      <c r="B181" s="1399"/>
      <c r="C181" s="1400"/>
      <c r="D181" s="37"/>
      <c r="E181" s="1410"/>
      <c r="F181" s="1410"/>
      <c r="G181" s="109"/>
      <c r="H181" s="109"/>
      <c r="I181" s="109"/>
    </row>
    <row r="182" spans="1:9" ht="12.75" customHeight="1">
      <c r="A182" s="35"/>
      <c r="B182" s="35"/>
      <c r="C182" s="35"/>
      <c r="D182" s="37"/>
      <c r="E182" s="109"/>
      <c r="F182" s="109"/>
      <c r="G182" s="109"/>
      <c r="H182" s="109"/>
      <c r="I182" s="109"/>
    </row>
    <row r="183" spans="1:9" ht="12.75" customHeight="1">
      <c r="A183" s="35"/>
      <c r="B183" s="35"/>
      <c r="C183" s="35"/>
      <c r="D183" s="37"/>
      <c r="E183" s="109"/>
      <c r="F183" s="109"/>
      <c r="G183" s="109"/>
      <c r="H183" s="109"/>
      <c r="I183" s="109"/>
    </row>
    <row r="184" spans="1:9" ht="12.75" customHeight="1">
      <c r="A184" s="35"/>
      <c r="B184" s="1367" t="s">
        <v>92</v>
      </c>
      <c r="C184" s="1368"/>
      <c r="D184" s="37"/>
      <c r="E184" s="1367" t="s">
        <v>54</v>
      </c>
      <c r="F184" s="1367"/>
      <c r="G184" s="1367"/>
      <c r="H184" s="1368"/>
      <c r="I184" s="152"/>
    </row>
    <row r="185" spans="1:9" ht="12.75" customHeight="1">
      <c r="A185" s="35"/>
      <c r="B185" s="1403" t="s">
        <v>113</v>
      </c>
      <c r="C185" s="1411"/>
      <c r="E185" s="1386" t="s">
        <v>113</v>
      </c>
      <c r="F185" s="1387"/>
      <c r="G185" s="1387"/>
      <c r="H185" s="1388"/>
      <c r="I185" s="109"/>
    </row>
    <row r="186" spans="1:9" ht="12.75" customHeight="1">
      <c r="A186" s="35"/>
      <c r="B186" s="1382" t="s">
        <v>115</v>
      </c>
      <c r="C186" s="1393"/>
      <c r="E186" s="1386" t="s">
        <v>115</v>
      </c>
      <c r="F186" s="1387"/>
      <c r="G186" s="1387"/>
      <c r="H186" s="1388"/>
      <c r="I186" s="109"/>
    </row>
    <row r="187" spans="1:9" ht="12.75" customHeight="1">
      <c r="A187" s="35"/>
      <c r="B187" s="1382" t="s">
        <v>116</v>
      </c>
      <c r="C187" s="1393"/>
      <c r="E187" s="1386" t="s">
        <v>116</v>
      </c>
      <c r="F187" s="1387"/>
      <c r="G187" s="1387"/>
      <c r="H187" s="1388"/>
      <c r="I187" s="109"/>
    </row>
    <row r="188" spans="1:9" ht="12.75" customHeight="1">
      <c r="A188" s="35"/>
      <c r="B188" s="1382" t="s">
        <v>117</v>
      </c>
      <c r="C188" s="1393"/>
      <c r="E188" s="1386" t="s">
        <v>117</v>
      </c>
      <c r="F188" s="1387"/>
      <c r="G188" s="1387"/>
      <c r="H188" s="1388"/>
      <c r="I188" s="109"/>
    </row>
    <row r="189" spans="1:9" ht="12.75" customHeight="1">
      <c r="A189" s="35"/>
      <c r="B189" s="1382" t="s">
        <v>118</v>
      </c>
      <c r="C189" s="1393"/>
      <c r="E189" s="1386" t="s">
        <v>118</v>
      </c>
      <c r="F189" s="1387"/>
      <c r="G189" s="1387"/>
      <c r="H189" s="1388"/>
      <c r="I189" s="109"/>
    </row>
    <row r="190" spans="1:9" ht="12.75" customHeight="1">
      <c r="A190" s="35"/>
      <c r="B190" s="1382" t="s">
        <v>119</v>
      </c>
      <c r="C190" s="1393"/>
      <c r="E190" s="1386" t="s">
        <v>119</v>
      </c>
      <c r="F190" s="1387"/>
      <c r="G190" s="1387"/>
      <c r="H190" s="1388"/>
      <c r="I190" s="109"/>
    </row>
    <row r="191" spans="1:9">
      <c r="A191" s="35"/>
      <c r="B191" s="1369"/>
      <c r="C191" s="1370"/>
      <c r="D191" s="37"/>
      <c r="E191" s="1369"/>
      <c r="F191" s="1369"/>
      <c r="G191" s="1369"/>
      <c r="H191" s="1370"/>
      <c r="I191" s="109"/>
    </row>
    <row r="192" spans="1:9" ht="12.65" customHeight="1">
      <c r="A192" s="35"/>
      <c r="D192" s="37"/>
      <c r="E192" s="37"/>
    </row>
    <row r="193" spans="1:13" ht="12.65" customHeight="1">
      <c r="A193" s="35"/>
      <c r="B193" s="68" t="s">
        <v>120</v>
      </c>
      <c r="C193" s="69"/>
      <c r="D193" s="69"/>
      <c r="E193" s="69"/>
      <c r="F193" s="67"/>
      <c r="G193" s="67"/>
      <c r="H193" s="67"/>
      <c r="I193" s="67"/>
      <c r="J193" s="67"/>
      <c r="K193" s="67"/>
      <c r="L193" s="67"/>
      <c r="M193" s="67"/>
    </row>
    <row r="194" spans="1:13" ht="12.65" customHeight="1">
      <c r="A194" s="35"/>
      <c r="B194" s="110"/>
      <c r="C194" s="111"/>
      <c r="D194" s="111"/>
      <c r="E194" s="111"/>
      <c r="F194" s="112"/>
      <c r="G194" s="112"/>
      <c r="H194" s="112"/>
      <c r="I194" s="112"/>
    </row>
    <row r="195" spans="1:13" ht="12.65" customHeight="1">
      <c r="A195" s="35"/>
      <c r="B195" s="258" t="s">
        <v>121</v>
      </c>
      <c r="C195" s="37"/>
      <c r="D195" s="37"/>
      <c r="E195" s="281" t="b">
        <f>OR((LEFT('RFPR cover'!$C$8,2)=Data!F195),'RFPR cover'!$C$7=Data!F195)</f>
        <v>0</v>
      </c>
      <c r="F195" s="282" t="str">
        <f>B206</f>
        <v>ED</v>
      </c>
    </row>
    <row r="196" spans="1:13" ht="19.5" customHeight="1">
      <c r="A196" s="35"/>
      <c r="B196" s="114" t="str">
        <f>CHOOSE(MATCH(TRUE,$E$195:$E$203,0),B207,B218,B229,E229,B240,E240,B251,E251,B262)&amp;""</f>
        <v>RIIO-2 network innovation allowance  - (SpC 5.2)</v>
      </c>
      <c r="C196" s="37"/>
      <c r="D196" s="37"/>
      <c r="E196" s="340" t="b">
        <f>OR((LEFT('RFPR cover'!$C$8,2)=Data!F196),'RFPR cover'!$C$7=Data!F196)</f>
        <v>1</v>
      </c>
      <c r="F196" s="272" t="str">
        <f>B217</f>
        <v>GD</v>
      </c>
    </row>
    <row r="197" spans="1:13" ht="22.5" customHeight="1">
      <c r="A197" s="35"/>
      <c r="B197" s="114" t="str">
        <f t="shared" ref="B197:B203" si="25">CHOOSE(MATCH(TRUE,$E$195:$E$203,0),B208,B219,B230,E230,B241,E241,B252,E252,B263)&amp;""</f>
        <v>Carry-over Network Innovation Allowance - (SpC 5.3)</v>
      </c>
      <c r="C197" s="37"/>
      <c r="D197" s="37"/>
      <c r="E197" s="340" t="b">
        <f>OR((LEFT('RFPR cover'!$C$8,2)=Data!F197),'RFPR cover'!$C$7=Data!F197)</f>
        <v>0</v>
      </c>
      <c r="F197" s="273" t="str">
        <f>B228</f>
        <v>NGGT (TO)</v>
      </c>
    </row>
    <row r="198" spans="1:13" ht="19.5" customHeight="1">
      <c r="A198" s="35"/>
      <c r="B198" s="114" t="str">
        <f t="shared" si="25"/>
        <v/>
      </c>
      <c r="C198" s="37"/>
      <c r="D198" s="37"/>
      <c r="E198" s="340" t="b">
        <f>OR((LEFT('RFPR cover'!$C$8,2)=Data!F198),'RFPR cover'!$C$7=Data!F198)</f>
        <v>0</v>
      </c>
      <c r="F198" s="273" t="str">
        <f>E228</f>
        <v>NGGT (SO)</v>
      </c>
    </row>
    <row r="199" spans="1:13" ht="19.5" customHeight="1">
      <c r="A199" s="35"/>
      <c r="B199" s="114" t="str">
        <f t="shared" si="25"/>
        <v/>
      </c>
      <c r="C199" s="37"/>
      <c r="D199" s="37"/>
      <c r="E199" s="340" t="b">
        <f>OR((LEFT('RFPR cover'!$C$8,2)=Data!F199),'RFPR cover'!$C$7=Data!F199)</f>
        <v>0</v>
      </c>
      <c r="F199" s="273" t="str">
        <f>B239</f>
        <v>NGGT (TO+SO)</v>
      </c>
      <c r="G199" s="1254"/>
    </row>
    <row r="200" spans="1:13" ht="19.5" customHeight="1">
      <c r="A200" s="35"/>
      <c r="B200" s="114" t="str">
        <f t="shared" si="25"/>
        <v/>
      </c>
      <c r="C200" s="37"/>
      <c r="D200" s="37"/>
      <c r="E200" s="340" t="b">
        <f>OR((LEFT('RFPR cover'!$C$8,2)=Data!F200),'RFPR cover'!$C$7=Data!F200)</f>
        <v>0</v>
      </c>
      <c r="F200" s="273" t="str">
        <f>E239</f>
        <v>NGET (TO)</v>
      </c>
    </row>
    <row r="201" spans="1:13" ht="19.5" customHeight="1">
      <c r="A201" s="35"/>
      <c r="B201" s="114" t="str">
        <f t="shared" si="25"/>
        <v/>
      </c>
      <c r="C201" s="37"/>
      <c r="D201" s="37"/>
      <c r="E201" s="340" t="b">
        <f>OR((LEFT('RFPR cover'!$C$8,2)=Data!F201),'RFPR cover'!$C$7=Data!F201)</f>
        <v>0</v>
      </c>
      <c r="F201" s="273" t="str">
        <f>B250</f>
        <v>ESO</v>
      </c>
    </row>
    <row r="202" spans="1:13" ht="19.5" customHeight="1">
      <c r="A202" s="35"/>
      <c r="B202" s="114" t="str">
        <f t="shared" si="25"/>
        <v/>
      </c>
      <c r="C202" s="37"/>
      <c r="D202" s="37"/>
      <c r="E202" s="340" t="b">
        <f>OR((LEFT('RFPR cover'!$C$8,2)=Data!F202),'RFPR cover'!$C$7=Data!F202)</f>
        <v>0</v>
      </c>
      <c r="F202" s="273" t="str">
        <f>E250</f>
        <v>SPT</v>
      </c>
    </row>
    <row r="203" spans="1:13" ht="19.5" customHeight="1">
      <c r="A203" s="35"/>
      <c r="B203" s="114" t="str">
        <f t="shared" si="25"/>
        <v/>
      </c>
      <c r="C203" s="37"/>
      <c r="D203" s="37"/>
      <c r="E203" s="274" t="b">
        <f>OR((LEFT('RFPR cover'!$C$8,2)=Data!F203),'RFPR cover'!$C$7=Data!F203)</f>
        <v>0</v>
      </c>
      <c r="F203" s="276" t="str">
        <f>B261</f>
        <v>SHET</v>
      </c>
      <c r="G203" s="37"/>
      <c r="H203" s="37"/>
      <c r="I203" s="37"/>
    </row>
    <row r="204" spans="1:13" ht="12.75" customHeight="1">
      <c r="A204" s="35"/>
      <c r="B204" s="37"/>
      <c r="C204" s="37"/>
      <c r="D204" s="37"/>
      <c r="E204" s="11"/>
      <c r="F204" s="113"/>
    </row>
    <row r="205" spans="1:13" ht="12.75" customHeight="1">
      <c r="A205" s="35"/>
      <c r="B205" s="150"/>
      <c r="C205" s="150"/>
      <c r="D205" s="37"/>
      <c r="E205" s="11"/>
      <c r="F205" s="113"/>
    </row>
    <row r="206" spans="1:13" ht="12.75" customHeight="1">
      <c r="A206" s="35"/>
      <c r="B206" s="1417" t="s">
        <v>19</v>
      </c>
      <c r="C206" s="1418"/>
      <c r="D206" s="37"/>
      <c r="E206" s="37"/>
    </row>
    <row r="207" spans="1:13" ht="12.75" customHeight="1">
      <c r="A207" s="35"/>
      <c r="B207" s="1380" t="s">
        <v>122</v>
      </c>
      <c r="C207" s="1381"/>
      <c r="D207" s="37"/>
      <c r="E207" s="37"/>
    </row>
    <row r="208" spans="1:13" ht="12.75" customHeight="1">
      <c r="A208" s="35"/>
      <c r="B208" s="1365" t="s">
        <v>123</v>
      </c>
      <c r="C208" s="1366"/>
      <c r="D208" s="37"/>
      <c r="E208" s="37"/>
    </row>
    <row r="209" spans="1:5" ht="12.75" customHeight="1">
      <c r="A209" s="35"/>
      <c r="B209" s="1365"/>
      <c r="C209" s="1366"/>
      <c r="D209" s="37"/>
      <c r="E209" s="37"/>
    </row>
    <row r="210" spans="1:5" ht="12.75" customHeight="1">
      <c r="A210" s="35"/>
      <c r="B210" s="1365"/>
      <c r="C210" s="1366"/>
      <c r="D210" s="37"/>
      <c r="E210" s="37"/>
    </row>
    <row r="211" spans="1:5" ht="12.75" customHeight="1">
      <c r="A211" s="35"/>
      <c r="B211" s="1365"/>
      <c r="C211" s="1366"/>
      <c r="D211" s="37"/>
      <c r="E211" s="37"/>
    </row>
    <row r="212" spans="1:5" ht="12.75" customHeight="1">
      <c r="A212" s="35"/>
      <c r="B212" s="1365"/>
      <c r="C212" s="1366"/>
      <c r="D212" s="37"/>
      <c r="E212" s="37"/>
    </row>
    <row r="213" spans="1:5">
      <c r="A213" s="35"/>
      <c r="B213" s="1365"/>
      <c r="C213" s="1366"/>
      <c r="D213" s="37"/>
      <c r="E213" s="37"/>
    </row>
    <row r="214" spans="1:5" ht="12.75" customHeight="1">
      <c r="A214" s="35"/>
      <c r="B214" s="1369"/>
      <c r="C214" s="1370"/>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84" t="s">
        <v>25</v>
      </c>
      <c r="C217" s="1385"/>
      <c r="D217" s="37"/>
      <c r="E217" s="37"/>
    </row>
    <row r="218" spans="1:5" ht="12.75" customHeight="1">
      <c r="A218" s="35"/>
      <c r="B218" s="1380" t="s">
        <v>124</v>
      </c>
      <c r="C218" s="1381"/>
      <c r="E218" s="37"/>
    </row>
    <row r="219" spans="1:5" ht="12.75" customHeight="1">
      <c r="A219" s="35"/>
      <c r="B219" s="1365" t="s">
        <v>125</v>
      </c>
      <c r="C219" s="1366"/>
      <c r="D219" s="37"/>
      <c r="E219" s="37"/>
    </row>
    <row r="220" spans="1:5" ht="12.75" customHeight="1">
      <c r="A220" s="35"/>
      <c r="B220" s="1365"/>
      <c r="C220" s="1366"/>
      <c r="D220" s="37"/>
      <c r="E220" s="37"/>
    </row>
    <row r="221" spans="1:5" ht="12.75" customHeight="1">
      <c r="A221" s="35"/>
      <c r="B221" s="1365"/>
      <c r="C221" s="1366"/>
      <c r="D221" s="37"/>
      <c r="E221" s="37"/>
    </row>
    <row r="222" spans="1:5">
      <c r="A222" s="35"/>
      <c r="B222" s="1365"/>
      <c r="C222" s="1366"/>
      <c r="D222" s="37"/>
      <c r="E222" s="37"/>
    </row>
    <row r="223" spans="1:5">
      <c r="A223" s="35"/>
      <c r="B223" s="1365"/>
      <c r="C223" s="1366"/>
      <c r="D223" s="37"/>
      <c r="E223" s="37"/>
    </row>
    <row r="224" spans="1:5" ht="12.75" customHeight="1">
      <c r="A224" s="35"/>
      <c r="B224" s="1365"/>
      <c r="C224" s="1366"/>
      <c r="D224" s="37"/>
      <c r="E224" s="37"/>
    </row>
    <row r="225" spans="1:9">
      <c r="A225" s="35"/>
      <c r="B225" s="1369"/>
      <c r="C225" s="1370"/>
      <c r="D225" s="37"/>
      <c r="E225" s="37"/>
    </row>
    <row r="226" spans="1:9">
      <c r="A226" s="35"/>
      <c r="B226" s="37"/>
      <c r="C226" s="37"/>
      <c r="D226" s="37"/>
      <c r="E226" s="37"/>
    </row>
    <row r="227" spans="1:9">
      <c r="A227" s="35"/>
      <c r="B227" s="37"/>
      <c r="C227" s="37"/>
      <c r="D227" s="37"/>
      <c r="E227" s="37"/>
    </row>
    <row r="228" spans="1:9">
      <c r="A228" s="35"/>
      <c r="B228" s="202" t="str">
        <f>B85</f>
        <v>NGGT (TO)</v>
      </c>
      <c r="C228" s="178"/>
      <c r="D228" s="37"/>
      <c r="E228" s="1367" t="str">
        <f>B86</f>
        <v>NGGT (SO)</v>
      </c>
      <c r="F228" s="1367"/>
      <c r="G228" s="1367"/>
      <c r="H228" s="1367"/>
      <c r="I228" s="1368"/>
    </row>
    <row r="229" spans="1:9">
      <c r="A229" s="35"/>
      <c r="B229" s="1380" t="s">
        <v>126</v>
      </c>
      <c r="C229" s="1381"/>
      <c r="E229" s="1389"/>
      <c r="F229" s="1390"/>
      <c r="G229" s="1390"/>
      <c r="H229" s="1390"/>
      <c r="I229" s="1391"/>
    </row>
    <row r="230" spans="1:9" ht="25.5" customHeight="1">
      <c r="A230" s="35"/>
      <c r="B230" s="1365" t="s">
        <v>127</v>
      </c>
      <c r="C230" s="1366"/>
      <c r="E230" s="1389"/>
      <c r="F230" s="1390"/>
      <c r="G230" s="1390"/>
      <c r="H230" s="1390"/>
      <c r="I230" s="1391"/>
    </row>
    <row r="231" spans="1:9" ht="13.5" customHeight="1">
      <c r="A231" s="35"/>
      <c r="B231" s="1365" t="s">
        <v>128</v>
      </c>
      <c r="C231" s="1366"/>
      <c r="D231" s="37"/>
      <c r="E231" s="1389"/>
      <c r="F231" s="1390"/>
      <c r="G231" s="1390"/>
      <c r="H231" s="1390"/>
      <c r="I231" s="1391"/>
    </row>
    <row r="232" spans="1:9" ht="13.5" customHeight="1">
      <c r="A232" s="35"/>
      <c r="B232" s="1365"/>
      <c r="C232" s="1366"/>
      <c r="D232" s="37"/>
      <c r="E232" s="1371" t="s">
        <v>129</v>
      </c>
      <c r="F232" s="1372"/>
      <c r="G232" s="1372"/>
      <c r="H232" s="1372"/>
      <c r="I232" s="1373"/>
    </row>
    <row r="233" spans="1:9" ht="13.5" customHeight="1">
      <c r="A233" s="35"/>
      <c r="B233" s="203"/>
      <c r="C233" s="179"/>
      <c r="D233" s="37"/>
      <c r="E233" s="1371" t="s">
        <v>130</v>
      </c>
      <c r="F233" s="1372"/>
      <c r="G233" s="1372"/>
      <c r="H233" s="1372"/>
      <c r="I233" s="1373"/>
    </row>
    <row r="234" spans="1:9" ht="13.5" customHeight="1">
      <c r="A234" s="35"/>
      <c r="B234" s="1365"/>
      <c r="C234" s="1366"/>
      <c r="D234" s="37"/>
      <c r="E234" s="1371" t="s">
        <v>131</v>
      </c>
      <c r="F234" s="1372"/>
      <c r="G234" s="1372"/>
      <c r="H234" s="1372"/>
      <c r="I234" s="1373"/>
    </row>
    <row r="235" spans="1:9" ht="13.5" customHeight="1">
      <c r="A235" s="35"/>
      <c r="B235" s="1365"/>
      <c r="C235" s="1366"/>
      <c r="D235" s="37"/>
      <c r="E235" s="1374" t="s">
        <v>132</v>
      </c>
      <c r="F235" s="1375"/>
      <c r="G235" s="1375"/>
      <c r="H235" s="1375"/>
      <c r="I235" s="1376"/>
    </row>
    <row r="236" spans="1:9" ht="12.75" customHeight="1">
      <c r="A236" s="35"/>
      <c r="B236" s="1369"/>
      <c r="C236" s="1370"/>
      <c r="D236" s="37"/>
      <c r="E236" s="1377" t="s">
        <v>133</v>
      </c>
      <c r="F236" s="1378"/>
      <c r="G236" s="1378"/>
      <c r="H236" s="1378"/>
      <c r="I236" s="1379"/>
    </row>
    <row r="237" spans="1:9">
      <c r="A237" s="35"/>
      <c r="B237" s="37"/>
      <c r="C237" s="37"/>
      <c r="D237" s="37"/>
      <c r="E237" s="37"/>
    </row>
    <row r="238" spans="1:9" ht="12.75" customHeight="1">
      <c r="A238" s="35"/>
      <c r="B238" s="37"/>
      <c r="C238" s="37"/>
      <c r="D238" s="37"/>
      <c r="E238" s="37"/>
    </row>
    <row r="239" spans="1:9">
      <c r="A239" s="35"/>
      <c r="B239" s="1367" t="s">
        <v>90</v>
      </c>
      <c r="C239" s="1368"/>
      <c r="D239" s="1274"/>
      <c r="E239" s="1367" t="s">
        <v>91</v>
      </c>
      <c r="F239" s="1367"/>
      <c r="G239" s="1367"/>
      <c r="H239" s="1367"/>
      <c r="I239" s="1368"/>
    </row>
    <row r="240" spans="1:9" ht="12.75" customHeight="1">
      <c r="A240" s="35"/>
      <c r="B240" s="1380" t="s">
        <v>126</v>
      </c>
      <c r="C240" s="1381"/>
      <c r="D240" s="1254"/>
      <c r="E240" s="1380" t="s">
        <v>126</v>
      </c>
      <c r="F240" s="1380"/>
      <c r="G240" s="1380"/>
      <c r="H240" s="1380"/>
      <c r="I240" s="1381"/>
    </row>
    <row r="241" spans="1:9" ht="12.75" customHeight="1">
      <c r="A241" s="35"/>
      <c r="B241" s="1365" t="s">
        <v>127</v>
      </c>
      <c r="C241" s="1366"/>
      <c r="D241" s="1254"/>
      <c r="E241" s="1365" t="s">
        <v>134</v>
      </c>
      <c r="F241" s="1365"/>
      <c r="G241" s="1365"/>
      <c r="H241" s="1365"/>
      <c r="I241" s="1366"/>
    </row>
    <row r="242" spans="1:9" ht="12.75" customHeight="1">
      <c r="A242" s="35"/>
      <c r="B242" s="1365" t="s">
        <v>128</v>
      </c>
      <c r="C242" s="1366"/>
      <c r="D242" s="1254"/>
      <c r="E242" s="1365"/>
      <c r="F242" s="1365"/>
      <c r="G242" s="1365"/>
      <c r="H242" s="1365"/>
      <c r="I242" s="1366"/>
    </row>
    <row r="243" spans="1:9" ht="24" customHeight="1">
      <c r="A243" s="35"/>
      <c r="B243" s="1365" t="s">
        <v>135</v>
      </c>
      <c r="C243" s="1366"/>
      <c r="D243" s="1254"/>
      <c r="E243" s="1365"/>
      <c r="F243" s="1365"/>
      <c r="G243" s="1365"/>
      <c r="H243" s="1365"/>
      <c r="I243" s="1366"/>
    </row>
    <row r="244" spans="1:9">
      <c r="A244" s="35"/>
      <c r="B244" s="1365" t="s">
        <v>130</v>
      </c>
      <c r="C244" s="1366"/>
      <c r="D244" s="1254"/>
      <c r="E244" s="1365"/>
      <c r="F244" s="1365"/>
      <c r="G244" s="1365"/>
      <c r="H244" s="1365"/>
      <c r="I244" s="1366"/>
    </row>
    <row r="245" spans="1:9">
      <c r="A245" s="35"/>
      <c r="B245" s="1365" t="s">
        <v>131</v>
      </c>
      <c r="C245" s="1366"/>
      <c r="D245" s="1254"/>
      <c r="E245" s="1365"/>
      <c r="F245" s="1365"/>
      <c r="G245" s="1365"/>
      <c r="H245" s="1365"/>
      <c r="I245" s="1366"/>
    </row>
    <row r="246" spans="1:9" ht="12.75" customHeight="1">
      <c r="A246" s="35"/>
      <c r="B246" s="1365" t="s">
        <v>136</v>
      </c>
      <c r="C246" s="1366"/>
      <c r="D246" s="1254"/>
      <c r="E246" s="1365"/>
      <c r="F246" s="1365"/>
      <c r="G246" s="1365"/>
      <c r="H246" s="1365"/>
      <c r="I246" s="1366"/>
    </row>
    <row r="247" spans="1:9" ht="12.75" customHeight="1">
      <c r="A247" s="35"/>
      <c r="B247" s="1369" t="s">
        <v>133</v>
      </c>
      <c r="C247" s="1370"/>
      <c r="D247" s="1274"/>
      <c r="E247" s="1369"/>
      <c r="F247" s="1369"/>
      <c r="G247" s="1369"/>
      <c r="H247" s="1369"/>
      <c r="I247" s="1370"/>
    </row>
    <row r="248" spans="1:9" ht="12.75" customHeight="1">
      <c r="A248" s="35"/>
      <c r="B248" s="35"/>
      <c r="C248" s="35"/>
      <c r="D248" s="37"/>
      <c r="E248" s="109"/>
      <c r="F248" s="109"/>
      <c r="G248" s="109"/>
      <c r="H248" s="109"/>
      <c r="I248" s="109"/>
    </row>
    <row r="249" spans="1:9" ht="12.75" customHeight="1">
      <c r="A249" s="35"/>
      <c r="B249" s="35"/>
      <c r="C249" s="35"/>
      <c r="D249" s="37"/>
      <c r="E249" s="109"/>
      <c r="F249" s="109"/>
      <c r="G249" s="109"/>
      <c r="H249" s="109"/>
      <c r="I249" s="109"/>
    </row>
    <row r="250" spans="1:9" ht="12.75" customHeight="1">
      <c r="A250" s="35"/>
      <c r="B250" s="1367" t="s">
        <v>29</v>
      </c>
      <c r="C250" s="1368"/>
      <c r="D250" s="37"/>
      <c r="E250" s="1367" t="s">
        <v>92</v>
      </c>
      <c r="F250" s="1367"/>
      <c r="G250" s="1367"/>
      <c r="H250" s="1367"/>
      <c r="I250" s="1368"/>
    </row>
    <row r="251" spans="1:9" ht="12.75" customHeight="1">
      <c r="A251" s="35"/>
      <c r="B251" s="1380" t="s">
        <v>137</v>
      </c>
      <c r="C251" s="1381"/>
      <c r="E251" s="1380" t="s">
        <v>138</v>
      </c>
      <c r="F251" s="1380"/>
      <c r="G251" s="1380"/>
      <c r="H251" s="1380"/>
      <c r="I251" s="1381"/>
    </row>
    <row r="252" spans="1:9" ht="25.5" customHeight="1">
      <c r="A252" s="35"/>
      <c r="B252" s="1365" t="s">
        <v>139</v>
      </c>
      <c r="C252" s="1366"/>
      <c r="E252" s="1365" t="s">
        <v>125</v>
      </c>
      <c r="F252" s="1365"/>
      <c r="G252" s="1365"/>
      <c r="H252" s="1365"/>
      <c r="I252" s="1366"/>
    </row>
    <row r="253" spans="1:9" ht="25.5" customHeight="1">
      <c r="A253" s="35"/>
      <c r="B253" s="1365"/>
      <c r="C253" s="1366"/>
      <c r="E253" s="1365"/>
      <c r="F253" s="1365"/>
      <c r="G253" s="1365"/>
      <c r="H253" s="1365"/>
      <c r="I253" s="1366"/>
    </row>
    <row r="254" spans="1:9" ht="25.5" customHeight="1">
      <c r="A254" s="35"/>
      <c r="B254" s="1365"/>
      <c r="C254" s="1366"/>
      <c r="E254" s="1365"/>
      <c r="F254" s="1365"/>
      <c r="G254" s="1365"/>
      <c r="H254" s="1365"/>
      <c r="I254" s="1366"/>
    </row>
    <row r="255" spans="1:9" ht="25.5" customHeight="1">
      <c r="A255" s="35"/>
      <c r="B255" s="1365"/>
      <c r="C255" s="1366"/>
      <c r="E255" s="1365"/>
      <c r="F255" s="1365"/>
      <c r="G255" s="1365"/>
      <c r="H255" s="1365"/>
      <c r="I255" s="1366"/>
    </row>
    <row r="256" spans="1:9" ht="25.5" customHeight="1">
      <c r="A256" s="35"/>
      <c r="B256" s="1365"/>
      <c r="C256" s="1366"/>
      <c r="E256" s="1365"/>
      <c r="F256" s="1365"/>
      <c r="G256" s="1365"/>
      <c r="H256" s="1365"/>
      <c r="I256" s="1366"/>
    </row>
    <row r="257" spans="1:9">
      <c r="A257" s="35"/>
      <c r="B257" s="1365"/>
      <c r="C257" s="1366"/>
      <c r="E257" s="1365"/>
      <c r="F257" s="1365"/>
      <c r="G257" s="1365"/>
      <c r="H257" s="1365"/>
      <c r="I257" s="1366"/>
    </row>
    <row r="258" spans="1:9">
      <c r="A258" s="35"/>
      <c r="B258" s="1369"/>
      <c r="C258" s="1370"/>
      <c r="D258" s="37"/>
      <c r="E258" s="1369"/>
      <c r="F258" s="1369"/>
      <c r="G258" s="1369"/>
      <c r="H258" s="1369"/>
      <c r="I258" s="1370"/>
    </row>
    <row r="259" spans="1:9">
      <c r="A259" s="35"/>
      <c r="D259" s="37"/>
      <c r="E259" s="37"/>
    </row>
    <row r="260" spans="1:9">
      <c r="A260" s="35"/>
      <c r="D260" s="37"/>
      <c r="E260" s="37"/>
    </row>
    <row r="261" spans="1:9">
      <c r="A261" s="35"/>
      <c r="B261" s="1367" t="s">
        <v>54</v>
      </c>
      <c r="C261" s="1368"/>
      <c r="D261" s="37"/>
      <c r="E261" s="37"/>
    </row>
    <row r="262" spans="1:9">
      <c r="A262" s="35"/>
      <c r="B262" s="1365" t="s">
        <v>138</v>
      </c>
      <c r="C262" s="1366"/>
      <c r="D262" s="1392"/>
      <c r="E262" s="1392"/>
    </row>
    <row r="263" spans="1:9">
      <c r="A263" s="35"/>
      <c r="B263" s="1365" t="s">
        <v>125</v>
      </c>
      <c r="C263" s="1366"/>
      <c r="D263" s="1392"/>
      <c r="E263" s="1392"/>
    </row>
    <row r="264" spans="1:9">
      <c r="A264" s="35"/>
      <c r="B264" s="1365"/>
      <c r="C264" s="1366"/>
      <c r="D264" s="37"/>
      <c r="E264" s="37"/>
    </row>
    <row r="265" spans="1:9">
      <c r="A265" s="35"/>
      <c r="B265" s="1365"/>
      <c r="C265" s="1366"/>
      <c r="D265" s="37"/>
      <c r="E265" s="37"/>
    </row>
    <row r="266" spans="1:9">
      <c r="A266" s="35"/>
      <c r="B266" s="1365"/>
      <c r="C266" s="1366"/>
      <c r="D266" s="37"/>
      <c r="E266" s="37"/>
    </row>
    <row r="267" spans="1:9">
      <c r="A267" s="35"/>
      <c r="B267" s="1365"/>
      <c r="C267" s="1366"/>
      <c r="D267" s="37"/>
      <c r="E267" s="37"/>
    </row>
    <row r="268" spans="1:9">
      <c r="A268" s="35"/>
      <c r="B268" s="1365"/>
      <c r="C268" s="1366"/>
      <c r="D268" s="37"/>
      <c r="E268" s="37"/>
    </row>
    <row r="269" spans="1:9">
      <c r="A269" s="35"/>
      <c r="B269" s="1369"/>
      <c r="C269" s="1370"/>
      <c r="D269" s="37"/>
      <c r="E269" s="37"/>
    </row>
    <row r="270" spans="1:9">
      <c r="A270" s="35"/>
      <c r="D270" s="37"/>
      <c r="E270" s="37"/>
    </row>
    <row r="271" spans="1:9">
      <c r="A271" s="35"/>
      <c r="D271" s="37"/>
      <c r="E271" s="37"/>
    </row>
    <row r="272" spans="1:9">
      <c r="A272" s="35"/>
      <c r="D272" s="37"/>
      <c r="E272" s="37"/>
    </row>
    <row r="273" spans="2:36">
      <c r="B273" s="68" t="s">
        <v>140</v>
      </c>
      <c r="C273" s="69"/>
      <c r="D273" s="69"/>
      <c r="E273" s="69"/>
      <c r="F273" s="67"/>
      <c r="G273" s="67"/>
      <c r="H273" s="67"/>
      <c r="I273" s="67"/>
      <c r="J273" s="67"/>
      <c r="K273" s="67"/>
      <c r="L273" s="67"/>
      <c r="M273" s="67"/>
      <c r="N273" s="67"/>
    </row>
    <row r="275" spans="2:36" ht="108">
      <c r="B275" s="303" t="s">
        <v>141</v>
      </c>
      <c r="C275" s="303" t="s">
        <v>142</v>
      </c>
      <c r="D275" s="303" t="s">
        <v>143</v>
      </c>
      <c r="E275" s="304" t="s">
        <v>144</v>
      </c>
      <c r="F275" s="304" t="s">
        <v>145</v>
      </c>
      <c r="G275" s="304" t="s">
        <v>146</v>
      </c>
      <c r="H275" s="304" t="s">
        <v>147</v>
      </c>
      <c r="I275" s="303" t="s">
        <v>148</v>
      </c>
      <c r="J275" s="303" t="s">
        <v>149</v>
      </c>
      <c r="K275" s="305" t="s">
        <v>150</v>
      </c>
      <c r="L275" s="305" t="s">
        <v>151</v>
      </c>
      <c r="M275" s="305" t="s">
        <v>152</v>
      </c>
      <c r="N275" s="305" t="s">
        <v>153</v>
      </c>
      <c r="O275" s="305" t="s">
        <v>154</v>
      </c>
      <c r="P275" s="305" t="s">
        <v>155</v>
      </c>
      <c r="Q275" s="305" t="s">
        <v>156</v>
      </c>
      <c r="R275" s="305" t="s">
        <v>157</v>
      </c>
      <c r="S275" s="305" t="s">
        <v>158</v>
      </c>
      <c r="T275" s="303" t="s">
        <v>159</v>
      </c>
      <c r="U275" s="303" t="s">
        <v>160</v>
      </c>
      <c r="V275" s="303" t="s">
        <v>161</v>
      </c>
      <c r="W275" s="303" t="s">
        <v>162</v>
      </c>
      <c r="X275" s="306" t="s">
        <v>163</v>
      </c>
      <c r="Y275" s="303" t="s">
        <v>164</v>
      </c>
      <c r="Z275" s="303" t="s">
        <v>165</v>
      </c>
      <c r="AA275" s="303" t="s">
        <v>166</v>
      </c>
      <c r="AB275" s="303" t="s">
        <v>167</v>
      </c>
      <c r="AC275" s="303" t="s">
        <v>168</v>
      </c>
      <c r="AD275" s="303" t="s">
        <v>169</v>
      </c>
      <c r="AE275" s="303" t="s">
        <v>170</v>
      </c>
      <c r="AF275" s="303" t="s">
        <v>171</v>
      </c>
      <c r="AG275" s="303" t="s">
        <v>172</v>
      </c>
      <c r="AH275" s="303" t="s">
        <v>173</v>
      </c>
      <c r="AI275" s="303" t="s">
        <v>174</v>
      </c>
      <c r="AJ275" s="307" t="s">
        <v>175</v>
      </c>
    </row>
    <row r="276" spans="2:36">
      <c r="B276" s="292" t="s">
        <v>19</v>
      </c>
      <c r="C276" t="s">
        <v>84</v>
      </c>
      <c r="D276" t="s">
        <v>176</v>
      </c>
      <c r="E276" t="s">
        <v>177</v>
      </c>
      <c r="F276" t="s">
        <v>178</v>
      </c>
      <c r="G276" t="s">
        <v>179</v>
      </c>
      <c r="H276" t="s">
        <v>180</v>
      </c>
      <c r="O276" t="s">
        <v>181</v>
      </c>
      <c r="Y276" t="s">
        <v>182</v>
      </c>
      <c r="Z276" t="s">
        <v>183</v>
      </c>
      <c r="AA276">
        <v>1</v>
      </c>
      <c r="AI276" t="s">
        <v>184</v>
      </c>
      <c r="AJ276" s="156" t="s">
        <v>184</v>
      </c>
    </row>
    <row r="277" spans="2:36">
      <c r="B277" s="292" t="s">
        <v>22</v>
      </c>
      <c r="C277" t="s">
        <v>185</v>
      </c>
      <c r="D277" t="s">
        <v>186</v>
      </c>
      <c r="E277" t="s">
        <v>187</v>
      </c>
      <c r="F277" t="s">
        <v>188</v>
      </c>
      <c r="G277" t="s">
        <v>189</v>
      </c>
      <c r="H277" t="s">
        <v>190</v>
      </c>
      <c r="O277" t="s">
        <v>191</v>
      </c>
      <c r="Y277" t="s">
        <v>192</v>
      </c>
      <c r="Z277" t="s">
        <v>193</v>
      </c>
      <c r="AA277">
        <v>2</v>
      </c>
      <c r="AI277" t="s">
        <v>194</v>
      </c>
      <c r="AJ277" s="156" t="s">
        <v>194</v>
      </c>
    </row>
    <row r="278" spans="2:36">
      <c r="B278" s="292" t="s">
        <v>25</v>
      </c>
      <c r="C278" t="s">
        <v>195</v>
      </c>
      <c r="D278" t="s">
        <v>196</v>
      </c>
      <c r="E278" t="s">
        <v>197</v>
      </c>
      <c r="F278" t="s">
        <v>198</v>
      </c>
      <c r="G278" t="s">
        <v>199</v>
      </c>
      <c r="O278" t="s">
        <v>200</v>
      </c>
      <c r="Y278" t="s">
        <v>201</v>
      </c>
      <c r="Z278" t="s">
        <v>202</v>
      </c>
      <c r="AA278">
        <v>3</v>
      </c>
      <c r="AI278" t="s">
        <v>203</v>
      </c>
      <c r="AJ278" s="156" t="s">
        <v>203</v>
      </c>
    </row>
    <row r="279" spans="2:36">
      <c r="B279" s="292" t="s">
        <v>27</v>
      </c>
      <c r="C279" t="s">
        <v>204</v>
      </c>
      <c r="D279" t="s">
        <v>205</v>
      </c>
      <c r="E279" t="s">
        <v>206</v>
      </c>
      <c r="G279" t="s">
        <v>207</v>
      </c>
      <c r="O279" t="s">
        <v>208</v>
      </c>
      <c r="Y279" t="s">
        <v>209</v>
      </c>
      <c r="Z279" t="s">
        <v>203</v>
      </c>
      <c r="AA279">
        <v>4</v>
      </c>
      <c r="AJ279" s="156"/>
    </row>
    <row r="280" spans="2:36">
      <c r="B280" s="292" t="s">
        <v>29</v>
      </c>
      <c r="C280" t="s">
        <v>87</v>
      </c>
      <c r="D280" t="s">
        <v>210</v>
      </c>
      <c r="E280" t="s">
        <v>211</v>
      </c>
      <c r="G280" t="s">
        <v>212</v>
      </c>
      <c r="O280" t="s">
        <v>213</v>
      </c>
      <c r="Y280" t="s">
        <v>214</v>
      </c>
      <c r="AA280">
        <v>5</v>
      </c>
      <c r="AJ280" s="156"/>
    </row>
    <row r="281" spans="2:36">
      <c r="B281" s="292"/>
      <c r="C281" t="s">
        <v>54</v>
      </c>
      <c r="D281" t="s">
        <v>215</v>
      </c>
      <c r="E281" t="s">
        <v>216</v>
      </c>
      <c r="O281" t="s">
        <v>217</v>
      </c>
      <c r="Y281" s="302" t="s">
        <v>218</v>
      </c>
      <c r="AA281">
        <v>6</v>
      </c>
      <c r="AJ281" s="156"/>
    </row>
    <row r="282" spans="2:36">
      <c r="B282" s="292"/>
      <c r="C282" t="s">
        <v>92</v>
      </c>
      <c r="D282" t="s">
        <v>219</v>
      </c>
      <c r="O282" t="s">
        <v>220</v>
      </c>
      <c r="Y282" t="s">
        <v>203</v>
      </c>
      <c r="AA282">
        <v>7</v>
      </c>
      <c r="AJ282" s="156"/>
    </row>
    <row r="283" spans="2:36">
      <c r="B283" s="292"/>
      <c r="C283" t="s">
        <v>221</v>
      </c>
      <c r="D283" t="s">
        <v>222</v>
      </c>
      <c r="O283" t="s">
        <v>223</v>
      </c>
      <c r="AA283">
        <v>8</v>
      </c>
      <c r="AJ283" s="156"/>
    </row>
    <row r="284" spans="2:36">
      <c r="B284" s="292"/>
      <c r="C284" t="s">
        <v>224</v>
      </c>
      <c r="D284" t="s">
        <v>225</v>
      </c>
      <c r="AA284">
        <v>9</v>
      </c>
      <c r="AJ284" s="156"/>
    </row>
    <row r="285" spans="2:36">
      <c r="B285" s="292"/>
      <c r="C285" t="s">
        <v>29</v>
      </c>
      <c r="D285" t="s">
        <v>226</v>
      </c>
      <c r="AA285">
        <v>10</v>
      </c>
      <c r="AJ285" s="156"/>
    </row>
    <row r="286" spans="2:36">
      <c r="B286" s="292"/>
      <c r="C286" t="s">
        <v>70</v>
      </c>
      <c r="D286" t="s">
        <v>216</v>
      </c>
      <c r="AA286">
        <v>11</v>
      </c>
      <c r="AJ286" s="156"/>
    </row>
    <row r="287" spans="2:36">
      <c r="B287" s="292"/>
      <c r="C287" t="s">
        <v>71</v>
      </c>
      <c r="AA287">
        <v>12</v>
      </c>
      <c r="AJ287" s="156"/>
    </row>
    <row r="288" spans="2:36">
      <c r="B288" s="292"/>
      <c r="C288" t="s">
        <v>72</v>
      </c>
      <c r="AA288" t="s">
        <v>203</v>
      </c>
      <c r="AJ288" s="156"/>
    </row>
    <row r="289" spans="2:36">
      <c r="B289" s="292"/>
      <c r="C289" t="s">
        <v>74</v>
      </c>
      <c r="AJ289" s="156"/>
    </row>
    <row r="290" spans="2:36">
      <c r="B290" s="292"/>
      <c r="C290" t="s">
        <v>75</v>
      </c>
      <c r="AJ290" s="156"/>
    </row>
    <row r="291" spans="2:36">
      <c r="B291" s="292"/>
      <c r="C291" t="s">
        <v>76</v>
      </c>
      <c r="AJ291" s="156"/>
    </row>
    <row r="292" spans="2:36">
      <c r="B292" s="292"/>
      <c r="C292" t="s">
        <v>50</v>
      </c>
      <c r="AJ292" s="156"/>
    </row>
    <row r="293" spans="2:36">
      <c r="B293" s="292"/>
      <c r="C293" t="s">
        <v>227</v>
      </c>
      <c r="AJ293" s="156"/>
    </row>
    <row r="294" spans="2:36">
      <c r="B294" s="292"/>
      <c r="C294" t="s">
        <v>228</v>
      </c>
      <c r="AJ294" s="156"/>
    </row>
    <row r="295" spans="2:36">
      <c r="B295" s="292"/>
      <c r="C295" t="s">
        <v>229</v>
      </c>
      <c r="AJ295" s="156"/>
    </row>
    <row r="296" spans="2:36">
      <c r="B296" s="292"/>
      <c r="C296" t="s">
        <v>230</v>
      </c>
      <c r="AJ296" s="156"/>
    </row>
    <row r="297" spans="2:36">
      <c r="B297" s="292"/>
      <c r="C297" t="s">
        <v>231</v>
      </c>
      <c r="AJ297" s="156"/>
    </row>
    <row r="298" spans="2:36">
      <c r="B298" s="292"/>
      <c r="C298" t="s">
        <v>232</v>
      </c>
      <c r="AJ298" s="156"/>
    </row>
    <row r="299" spans="2:36">
      <c r="B299" s="292"/>
      <c r="C299" t="s">
        <v>233</v>
      </c>
      <c r="AJ299" s="156"/>
    </row>
    <row r="300" spans="2:36">
      <c r="B300" s="292"/>
      <c r="C300" t="s">
        <v>234</v>
      </c>
      <c r="AJ300" s="156"/>
    </row>
    <row r="301" spans="2:36">
      <c r="B301" s="292"/>
      <c r="AJ301" s="156"/>
    </row>
    <row r="302" spans="2:36">
      <c r="B302" s="292"/>
      <c r="AJ302" s="156"/>
    </row>
    <row r="303" spans="2:36">
      <c r="B303" s="292"/>
      <c r="AJ303" s="156"/>
    </row>
    <row r="304" spans="2:36">
      <c r="B304" s="292"/>
      <c r="AJ304" s="156"/>
    </row>
    <row r="305" spans="1:36">
      <c r="B305" s="292"/>
      <c r="AJ305" s="156"/>
    </row>
    <row r="306" spans="1:36">
      <c r="B306" s="293"/>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294"/>
    </row>
    <row r="307" spans="1:36">
      <c r="B307" s="295" t="s">
        <v>235</v>
      </c>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row>
    <row r="310" spans="1:36">
      <c r="A310" s="35"/>
      <c r="B310" s="68" t="s">
        <v>236</v>
      </c>
      <c r="C310" s="69"/>
      <c r="D310" s="69"/>
      <c r="E310" s="69"/>
      <c r="F310" s="67"/>
      <c r="G310" s="67"/>
      <c r="H310" s="67"/>
      <c r="I310" s="67"/>
      <c r="J310" s="67"/>
      <c r="K310" s="67"/>
      <c r="L310" s="67"/>
      <c r="M310" s="67"/>
      <c r="N310" s="67"/>
      <c r="O310" s="67"/>
      <c r="P310" s="67"/>
      <c r="Q310" s="67"/>
      <c r="R310" s="67"/>
      <c r="S310" s="67"/>
    </row>
    <row r="311" spans="1:36">
      <c r="B311" s="110"/>
      <c r="C311" s="111"/>
      <c r="D311" s="111"/>
      <c r="E311" s="111"/>
      <c r="F311" s="112"/>
      <c r="G311" s="112"/>
      <c r="H311" s="112"/>
      <c r="I311" s="112"/>
      <c r="J311" s="112"/>
      <c r="K311" s="112"/>
      <c r="L311" s="331"/>
      <c r="M311" s="112"/>
      <c r="N311" s="112"/>
    </row>
    <row r="312" spans="1:36">
      <c r="A312" s="95" t="s">
        <v>237</v>
      </c>
      <c r="B312" s="95" t="s">
        <v>238</v>
      </c>
      <c r="C312" s="37"/>
      <c r="D312" s="37"/>
      <c r="E312" s="37"/>
      <c r="K312" s="95" t="s">
        <v>239</v>
      </c>
      <c r="L312" s="95" t="s">
        <v>240</v>
      </c>
      <c r="M312" s="112"/>
      <c r="N312" s="112"/>
    </row>
    <row r="313" spans="1:36">
      <c r="B313" s="332"/>
      <c r="C313" s="111"/>
      <c r="D313" s="111"/>
      <c r="E313" s="111"/>
      <c r="F313" s="112"/>
      <c r="G313" s="112"/>
      <c r="H313" s="112"/>
      <c r="I313" s="112"/>
      <c r="J313" s="112"/>
      <c r="K313" s="112"/>
      <c r="L313" s="332"/>
      <c r="M313" s="112"/>
      <c r="N313" s="112"/>
    </row>
    <row r="314" spans="1:36">
      <c r="A314" s="48" t="s">
        <v>6</v>
      </c>
      <c r="B314" s="325" t="s">
        <v>3</v>
      </c>
      <c r="C314" s="171">
        <v>2022</v>
      </c>
      <c r="D314" s="172">
        <f>C314+1</f>
        <v>2023</v>
      </c>
      <c r="E314" s="172">
        <f>D314+1</f>
        <v>2024</v>
      </c>
      <c r="F314" s="172">
        <f t="shared" ref="F314" si="26">E314+1</f>
        <v>2025</v>
      </c>
      <c r="G314" s="172">
        <f t="shared" ref="G314" si="27">F314+1</f>
        <v>2026</v>
      </c>
      <c r="H314" s="172">
        <f t="shared" ref="H314" si="28">G314+1</f>
        <v>2027</v>
      </c>
      <c r="I314" s="172">
        <f t="shared" ref="I314" si="29">H314+1</f>
        <v>2028</v>
      </c>
      <c r="K314" s="48" t="s">
        <v>6</v>
      </c>
      <c r="L314" s="325" t="s">
        <v>3</v>
      </c>
      <c r="M314" s="171">
        <v>2022</v>
      </c>
      <c r="N314" s="172">
        <f t="shared" ref="N314" si="30">M314+1</f>
        <v>2023</v>
      </c>
      <c r="O314" s="172">
        <f t="shared" ref="O314" si="31">N314+1</f>
        <v>2024</v>
      </c>
      <c r="P314" s="172">
        <f t="shared" ref="P314" si="32">O314+1</f>
        <v>2025</v>
      </c>
      <c r="Q314" s="172">
        <f t="shared" ref="Q314" si="33">P314+1</f>
        <v>2026</v>
      </c>
      <c r="R314" s="172">
        <f t="shared" ref="R314" si="34">Q314+1</f>
        <v>2027</v>
      </c>
      <c r="S314" s="172">
        <f t="shared" ref="S314" si="35">R314+1</f>
        <v>2028</v>
      </c>
    </row>
    <row r="315" spans="1:36">
      <c r="A315" s="12" t="s">
        <v>19</v>
      </c>
      <c r="B315" s="324" t="s">
        <v>70</v>
      </c>
      <c r="C315" s="327"/>
      <c r="D315" s="327"/>
      <c r="E315" s="329">
        <v>1.4366690915062783</v>
      </c>
      <c r="F315" s="329">
        <v>1.3797759532786635</v>
      </c>
      <c r="G315" s="329">
        <v>1.2994160329983981</v>
      </c>
      <c r="H315" s="329">
        <v>1.2615281568238033</v>
      </c>
      <c r="I315" s="329">
        <v>1.2611798067947679</v>
      </c>
      <c r="J315" t="b">
        <f>B315=L315</f>
        <v>1</v>
      </c>
      <c r="K315" s="12" t="s">
        <v>19</v>
      </c>
      <c r="L315" s="324" t="s">
        <v>70</v>
      </c>
      <c r="M315" s="327"/>
      <c r="N315" s="327"/>
      <c r="O315" s="481">
        <f t="shared" ref="O315:O328" si="36">((E315*H$34)/H$13)*(1-H$13)</f>
        <v>5.3677487655720171</v>
      </c>
      <c r="P315" s="481">
        <f t="shared" ref="P315:P328" si="37">((F315*I$34)/I$13)*(1-I$13)</f>
        <v>5.2741262756423222</v>
      </c>
      <c r="Q315" s="481">
        <f t="shared" ref="Q315:Q328" si="38">((G315*J$34)/J$13)*(1-J$13)</f>
        <v>5.0433239534325187</v>
      </c>
      <c r="R315" s="481">
        <f t="shared" ref="R315:R328" si="39">((H315*K$34)/K$13)*(1-K$13)</f>
        <v>4.9941980934999313</v>
      </c>
      <c r="S315" s="481">
        <f t="shared" ref="S315:S328" si="40">((I315*L$34)/L$13)*(1-L$13)</f>
        <v>5.0926754092936628</v>
      </c>
    </row>
    <row r="316" spans="1:36">
      <c r="A316" s="12" t="s">
        <v>19</v>
      </c>
      <c r="B316" s="324" t="s">
        <v>71</v>
      </c>
      <c r="C316" s="327"/>
      <c r="D316" s="327"/>
      <c r="E316" s="329">
        <v>1.368578491828039</v>
      </c>
      <c r="F316" s="329">
        <v>1.4008338175049104</v>
      </c>
      <c r="G316" s="329">
        <v>1.2944169556388054</v>
      </c>
      <c r="H316" s="329">
        <v>1.1615288221705597</v>
      </c>
      <c r="I316" s="329">
        <v>1.0171476978779488</v>
      </c>
      <c r="J316" t="b">
        <f t="shared" ref="J316:J343" si="41">B316=L316</f>
        <v>1</v>
      </c>
      <c r="K316" s="12" t="s">
        <v>19</v>
      </c>
      <c r="L316" s="324" t="s">
        <v>71</v>
      </c>
      <c r="M316" s="327"/>
      <c r="N316" s="327"/>
      <c r="O316" s="481">
        <f t="shared" si="36"/>
        <v>5.1133455529388812</v>
      </c>
      <c r="P316" s="481">
        <f t="shared" si="37"/>
        <v>5.3546189344400421</v>
      </c>
      <c r="Q316" s="481">
        <f t="shared" si="38"/>
        <v>5.0239214172528479</v>
      </c>
      <c r="R316" s="481">
        <f t="shared" si="39"/>
        <v>4.5983159375804865</v>
      </c>
      <c r="S316" s="481">
        <f t="shared" si="40"/>
        <v>4.1072676875214453</v>
      </c>
    </row>
    <row r="317" spans="1:36">
      <c r="A317" s="12" t="s">
        <v>19</v>
      </c>
      <c r="B317" s="324" t="s">
        <v>72</v>
      </c>
      <c r="C317" s="327"/>
      <c r="D317" s="327"/>
      <c r="E317" s="329">
        <v>1.8517886877112844</v>
      </c>
      <c r="F317" s="329">
        <v>1.8549995484009258</v>
      </c>
      <c r="G317" s="329">
        <v>1.5955311955633462</v>
      </c>
      <c r="H317" s="329">
        <v>1.4243694121247401</v>
      </c>
      <c r="I317" s="329">
        <v>1.2090605175362352</v>
      </c>
      <c r="J317" t="b">
        <f t="shared" si="41"/>
        <v>1</v>
      </c>
      <c r="K317" s="12" t="s">
        <v>19</v>
      </c>
      <c r="L317" s="324" t="s">
        <v>72</v>
      </c>
      <c r="M317" s="327"/>
      <c r="N317" s="327"/>
      <c r="O317" s="481">
        <f t="shared" si="36"/>
        <v>6.9187375863574321</v>
      </c>
      <c r="P317" s="481">
        <f t="shared" si="37"/>
        <v>7.0906452864888134</v>
      </c>
      <c r="Q317" s="481">
        <f t="shared" si="38"/>
        <v>6.1926130605496139</v>
      </c>
      <c r="R317" s="481">
        <f t="shared" si="39"/>
        <v>5.638861854960993</v>
      </c>
      <c r="S317" s="481">
        <f t="shared" si="40"/>
        <v>4.8822164237257262</v>
      </c>
    </row>
    <row r="318" spans="1:36">
      <c r="A318" s="12" t="s">
        <v>19</v>
      </c>
      <c r="B318" s="324" t="s">
        <v>52</v>
      </c>
      <c r="C318" s="327"/>
      <c r="D318" s="327"/>
      <c r="E318" s="329">
        <v>1.9633660656588319</v>
      </c>
      <c r="F318" s="329">
        <v>2.1083575561921606</v>
      </c>
      <c r="G318" s="329">
        <v>2.5083164621053555</v>
      </c>
      <c r="H318" s="329">
        <v>2.4606563837546958</v>
      </c>
      <c r="I318" s="329">
        <v>2.3736687667861531</v>
      </c>
      <c r="J318" t="b">
        <f t="shared" si="41"/>
        <v>1</v>
      </c>
      <c r="K318" s="12" t="s">
        <v>19</v>
      </c>
      <c r="L318" s="324" t="s">
        <v>52</v>
      </c>
      <c r="M318" s="327"/>
      <c r="N318" s="327"/>
      <c r="O318" s="481">
        <f t="shared" si="36"/>
        <v>7.3356180888228764</v>
      </c>
      <c r="P318" s="481">
        <f t="shared" si="37"/>
        <v>8.059093912413136</v>
      </c>
      <c r="Q318" s="481">
        <f t="shared" si="38"/>
        <v>9.7353366242023629</v>
      </c>
      <c r="R318" s="481">
        <f t="shared" si="39"/>
        <v>9.7413643556293081</v>
      </c>
      <c r="S318" s="481">
        <f t="shared" si="40"/>
        <v>9.5849334831503477</v>
      </c>
    </row>
    <row r="319" spans="1:36">
      <c r="A319" s="12" t="s">
        <v>19</v>
      </c>
      <c r="B319" s="324" t="s">
        <v>4</v>
      </c>
      <c r="C319" s="327"/>
      <c r="D319" s="327"/>
      <c r="E319" s="329">
        <v>1.3074390315981681</v>
      </c>
      <c r="F319" s="329">
        <v>1.3001216768501926</v>
      </c>
      <c r="G319" s="329">
        <v>1.5417405565806881</v>
      </c>
      <c r="H319" s="329">
        <v>1.5753974334268079</v>
      </c>
      <c r="I319" s="329">
        <v>1.5749617313468214</v>
      </c>
      <c r="J319" t="b">
        <f t="shared" si="41"/>
        <v>1</v>
      </c>
      <c r="K319" s="12" t="s">
        <v>19</v>
      </c>
      <c r="L319" s="324" t="s">
        <v>4</v>
      </c>
      <c r="M319" s="327"/>
      <c r="N319" s="327"/>
      <c r="O319" s="481">
        <f t="shared" si="36"/>
        <v>4.8849135054222552</v>
      </c>
      <c r="P319" s="481">
        <f t="shared" si="37"/>
        <v>4.9696516895470904</v>
      </c>
      <c r="Q319" s="481">
        <f t="shared" si="38"/>
        <v>5.9838395721806164</v>
      </c>
      <c r="R319" s="481">
        <f t="shared" si="39"/>
        <v>6.2367588198221595</v>
      </c>
      <c r="S319" s="481">
        <f t="shared" si="40"/>
        <v>6.3597346203892648</v>
      </c>
    </row>
    <row r="320" spans="1:36">
      <c r="A320" s="12" t="s">
        <v>19</v>
      </c>
      <c r="B320" s="324" t="s">
        <v>73</v>
      </c>
      <c r="C320" s="327"/>
      <c r="D320" s="327"/>
      <c r="E320" s="329">
        <v>2.0191738224902593</v>
      </c>
      <c r="F320" s="329">
        <v>1.5784133044437496</v>
      </c>
      <c r="G320" s="329">
        <v>1.7691618048462701</v>
      </c>
      <c r="H320" s="329">
        <v>1.741401016001106</v>
      </c>
      <c r="I320" s="329">
        <v>1.6345343485877493</v>
      </c>
      <c r="J320" t="b">
        <f t="shared" si="41"/>
        <v>1</v>
      </c>
      <c r="K320" s="12" t="s">
        <v>19</v>
      </c>
      <c r="L320" s="324" t="s">
        <v>73</v>
      </c>
      <c r="M320" s="327"/>
      <c r="N320" s="327"/>
      <c r="O320" s="481">
        <f t="shared" si="36"/>
        <v>7.5441295822574297</v>
      </c>
      <c r="P320" s="481">
        <f t="shared" si="37"/>
        <v>6.033407860898496</v>
      </c>
      <c r="Q320" s="481">
        <f t="shared" si="38"/>
        <v>6.8665122495761146</v>
      </c>
      <c r="R320" s="481">
        <f t="shared" si="39"/>
        <v>6.8939417539661427</v>
      </c>
      <c r="S320" s="481">
        <f t="shared" si="40"/>
        <v>6.6002903296193178</v>
      </c>
    </row>
    <row r="321" spans="1:19">
      <c r="A321" s="12" t="s">
        <v>19</v>
      </c>
      <c r="B321" s="324" t="s">
        <v>74</v>
      </c>
      <c r="C321" s="327"/>
      <c r="D321" s="327"/>
      <c r="E321" s="329">
        <v>1.5418188657920666</v>
      </c>
      <c r="F321" s="329">
        <v>1.5421689490890813</v>
      </c>
      <c r="G321" s="329">
        <v>1.1986919632990878</v>
      </c>
      <c r="H321" s="329">
        <v>1.2051150219812068</v>
      </c>
      <c r="I321" s="329">
        <v>1.2030871425295599</v>
      </c>
      <c r="J321" t="b">
        <f t="shared" si="41"/>
        <v>1</v>
      </c>
      <c r="K321" s="12" t="s">
        <v>19</v>
      </c>
      <c r="L321" s="324" t="s">
        <v>74</v>
      </c>
      <c r="M321" s="327"/>
      <c r="N321" s="327"/>
      <c r="O321" s="481">
        <f t="shared" si="36"/>
        <v>5.7606141612707242</v>
      </c>
      <c r="P321" s="481">
        <f t="shared" si="37"/>
        <v>5.8948655805626631</v>
      </c>
      <c r="Q321" s="481">
        <f t="shared" si="38"/>
        <v>4.6523913340853751</v>
      </c>
      <c r="R321" s="481">
        <f t="shared" si="39"/>
        <v>4.7708670731376159</v>
      </c>
      <c r="S321" s="481">
        <f t="shared" si="40"/>
        <v>4.8580957869671213</v>
      </c>
    </row>
    <row r="322" spans="1:19">
      <c r="A322" s="12" t="s">
        <v>19</v>
      </c>
      <c r="B322" s="324" t="s">
        <v>75</v>
      </c>
      <c r="C322" s="327"/>
      <c r="D322" s="327"/>
      <c r="E322" s="329">
        <v>1.3630193716187557</v>
      </c>
      <c r="F322" s="329">
        <v>1.3768904698776971</v>
      </c>
      <c r="G322" s="329">
        <v>1.3602523162213354</v>
      </c>
      <c r="H322" s="329">
        <v>1.3398436564847218</v>
      </c>
      <c r="I322" s="329">
        <v>1.3157905788825448</v>
      </c>
      <c r="J322" t="b">
        <f t="shared" si="41"/>
        <v>1</v>
      </c>
      <c r="K322" s="12" t="s">
        <v>19</v>
      </c>
      <c r="L322" s="324" t="s">
        <v>75</v>
      </c>
      <c r="M322" s="327"/>
      <c r="N322" s="327"/>
      <c r="O322" s="481">
        <f t="shared" si="36"/>
        <v>5.0925753137672691</v>
      </c>
      <c r="P322" s="481">
        <f t="shared" si="37"/>
        <v>5.2630966560966241</v>
      </c>
      <c r="Q322" s="481">
        <f t="shared" si="38"/>
        <v>5.2794431613108959</v>
      </c>
      <c r="R322" s="481">
        <f t="shared" si="39"/>
        <v>5.3042372448120974</v>
      </c>
      <c r="S322" s="481">
        <f t="shared" si="40"/>
        <v>5.3131950644574886</v>
      </c>
    </row>
    <row r="323" spans="1:19">
      <c r="A323" s="12" t="s">
        <v>19</v>
      </c>
      <c r="B323" s="324" t="s">
        <v>76</v>
      </c>
      <c r="C323" s="327"/>
      <c r="D323" s="327"/>
      <c r="E323" s="329">
        <v>0.88691188538891907</v>
      </c>
      <c r="F323" s="329">
        <v>0.97956684032180519</v>
      </c>
      <c r="G323" s="329">
        <v>0.7570821246417444</v>
      </c>
      <c r="H323" s="329">
        <v>0.71183271144208338</v>
      </c>
      <c r="I323" s="329">
        <v>0.66972194319581801</v>
      </c>
      <c r="J323" t="b">
        <f t="shared" si="41"/>
        <v>1</v>
      </c>
      <c r="K323" s="12" t="s">
        <v>19</v>
      </c>
      <c r="L323" s="324" t="s">
        <v>76</v>
      </c>
      <c r="M323" s="327"/>
      <c r="N323" s="327"/>
      <c r="O323" s="481">
        <f t="shared" si="36"/>
        <v>3.3137207489973459</v>
      </c>
      <c r="P323" s="481">
        <f t="shared" si="37"/>
        <v>3.7443464636506443</v>
      </c>
      <c r="Q323" s="481">
        <f t="shared" si="38"/>
        <v>2.938404881083994</v>
      </c>
      <c r="R323" s="481">
        <f t="shared" si="39"/>
        <v>2.8180374343174237</v>
      </c>
      <c r="S323" s="481">
        <f t="shared" si="40"/>
        <v>2.7043538540676382</v>
      </c>
    </row>
    <row r="324" spans="1:19">
      <c r="A324" s="12" t="s">
        <v>19</v>
      </c>
      <c r="B324" s="324" t="s">
        <v>50</v>
      </c>
      <c r="C324" s="327"/>
      <c r="D324" s="327"/>
      <c r="E324" s="329">
        <v>2.5538076548384012</v>
      </c>
      <c r="F324" s="329">
        <v>2.7027627943750261</v>
      </c>
      <c r="G324" s="329">
        <v>2.4755882180772915</v>
      </c>
      <c r="H324" s="329">
        <v>2.1518380701030111</v>
      </c>
      <c r="I324" s="329">
        <v>1.7678169461084547</v>
      </c>
      <c r="J324" t="b">
        <f t="shared" si="41"/>
        <v>1</v>
      </c>
      <c r="K324" s="12" t="s">
        <v>19</v>
      </c>
      <c r="L324" s="324" t="s">
        <v>50</v>
      </c>
      <c r="M324" s="327"/>
      <c r="N324" s="327"/>
      <c r="O324" s="481">
        <f t="shared" si="36"/>
        <v>9.541652958089891</v>
      </c>
      <c r="P324" s="481">
        <f t="shared" si="37"/>
        <v>10.331178940152807</v>
      </c>
      <c r="Q324" s="481">
        <f t="shared" si="38"/>
        <v>9.6083109966366891</v>
      </c>
      <c r="R324" s="481">
        <f t="shared" si="39"/>
        <v>8.5187996233761538</v>
      </c>
      <c r="S324" s="481">
        <f t="shared" si="40"/>
        <v>7.1384887714462071</v>
      </c>
    </row>
    <row r="325" spans="1:19">
      <c r="A325" s="12" t="s">
        <v>19</v>
      </c>
      <c r="B325" s="1256" t="s">
        <v>51</v>
      </c>
      <c r="C325" s="327"/>
      <c r="D325" s="327"/>
      <c r="E325" s="329">
        <v>2.1594507853983487</v>
      </c>
      <c r="F325" s="329">
        <v>2.108783385973247</v>
      </c>
      <c r="G325" s="329">
        <v>1.9571099436141921</v>
      </c>
      <c r="H325" s="329">
        <v>1.6739883971269975</v>
      </c>
      <c r="I325" s="329">
        <v>1.4057277322201749</v>
      </c>
      <c r="J325" t="b">
        <f t="shared" si="41"/>
        <v>1</v>
      </c>
      <c r="K325" s="12" t="s">
        <v>19</v>
      </c>
      <c r="L325" s="1256" t="s">
        <v>51</v>
      </c>
      <c r="M325" s="327"/>
      <c r="N325" s="327"/>
      <c r="O325" s="481">
        <f t="shared" si="36"/>
        <v>8.0682387866244802</v>
      </c>
      <c r="P325" s="481">
        <f t="shared" si="37"/>
        <v>8.0607216259792711</v>
      </c>
      <c r="Q325" s="481">
        <f t="shared" si="38"/>
        <v>7.5959809695087772</v>
      </c>
      <c r="R325" s="481">
        <f t="shared" si="39"/>
        <v>6.6270654493527275</v>
      </c>
      <c r="S325" s="481">
        <f t="shared" si="40"/>
        <v>5.6763635252247608</v>
      </c>
    </row>
    <row r="326" spans="1:19">
      <c r="A326" s="12" t="s">
        <v>19</v>
      </c>
      <c r="B326" s="1256" t="s">
        <v>77</v>
      </c>
      <c r="C326" s="327"/>
      <c r="D326" s="327"/>
      <c r="E326" s="329">
        <v>2.3320557909214585</v>
      </c>
      <c r="F326" s="329">
        <v>2.3253369118631113</v>
      </c>
      <c r="G326" s="329">
        <v>2.1691122806593768</v>
      </c>
      <c r="H326" s="329">
        <v>1.831433598356611</v>
      </c>
      <c r="I326" s="329">
        <v>1.6964022421334342</v>
      </c>
      <c r="J326" t="b">
        <f t="shared" si="41"/>
        <v>1</v>
      </c>
      <c r="K326" s="12" t="s">
        <v>19</v>
      </c>
      <c r="L326" s="1256" t="s">
        <v>77</v>
      </c>
      <c r="M326" s="327"/>
      <c r="N326" s="327"/>
      <c r="O326" s="481">
        <f t="shared" si="36"/>
        <v>8.7131335023288692</v>
      </c>
      <c r="P326" s="481">
        <f t="shared" si="37"/>
        <v>8.8884869151660837</v>
      </c>
      <c r="Q326" s="481">
        <f t="shared" si="38"/>
        <v>8.4188094074005946</v>
      </c>
      <c r="R326" s="481">
        <f t="shared" si="39"/>
        <v>7.2503670534892359</v>
      </c>
      <c r="S326" s="481">
        <f t="shared" si="40"/>
        <v>6.8501144216222274</v>
      </c>
    </row>
    <row r="327" spans="1:19">
      <c r="A327" s="12" t="s">
        <v>19</v>
      </c>
      <c r="B327" s="1256" t="s">
        <v>78</v>
      </c>
      <c r="C327" s="327"/>
      <c r="D327" s="327"/>
      <c r="E327" s="329">
        <v>0.94083766340920505</v>
      </c>
      <c r="F327" s="329">
        <v>0.89327362005723643</v>
      </c>
      <c r="G327" s="329">
        <v>0.85016201774887534</v>
      </c>
      <c r="H327" s="329">
        <v>0.70172058348408528</v>
      </c>
      <c r="I327" s="329">
        <v>0.70273163357435342</v>
      </c>
      <c r="J327" t="b">
        <f t="shared" si="41"/>
        <v>1</v>
      </c>
      <c r="K327" s="12" t="s">
        <v>19</v>
      </c>
      <c r="L327" s="1256" t="s">
        <v>78</v>
      </c>
      <c r="M327" s="327"/>
      <c r="N327" s="327"/>
      <c r="O327" s="481">
        <f t="shared" si="36"/>
        <v>3.5152007071256408</v>
      </c>
      <c r="P327" s="481">
        <f t="shared" si="37"/>
        <v>3.4144948385910245</v>
      </c>
      <c r="Q327" s="481">
        <f t="shared" si="38"/>
        <v>3.2996687431335641</v>
      </c>
      <c r="R327" s="481">
        <f t="shared" si="39"/>
        <v>2.7780050577938491</v>
      </c>
      <c r="S327" s="481">
        <f t="shared" si="40"/>
        <v>2.8376478043461497</v>
      </c>
    </row>
    <row r="328" spans="1:19">
      <c r="A328" s="12" t="s">
        <v>19</v>
      </c>
      <c r="B328" s="1256" t="s">
        <v>79</v>
      </c>
      <c r="C328" s="327"/>
      <c r="D328" s="327"/>
      <c r="E328" s="329">
        <v>1.3538563803454693</v>
      </c>
      <c r="F328" s="329">
        <v>1.399085447927888</v>
      </c>
      <c r="G328" s="329">
        <v>1.3245039630700681</v>
      </c>
      <c r="H328" s="329">
        <v>1.0767587664923539</v>
      </c>
      <c r="I328" s="329">
        <v>1.0135822369351568</v>
      </c>
      <c r="J328" t="b">
        <f t="shared" si="41"/>
        <v>1</v>
      </c>
      <c r="K328" s="12" t="s">
        <v>19</v>
      </c>
      <c r="L328" s="1256" t="s">
        <v>79</v>
      </c>
      <c r="M328" s="327"/>
      <c r="N328" s="327"/>
      <c r="O328" s="481">
        <f t="shared" si="36"/>
        <v>5.0583401267037242</v>
      </c>
      <c r="P328" s="481">
        <f t="shared" si="37"/>
        <v>5.347935877017715</v>
      </c>
      <c r="Q328" s="481">
        <f t="shared" si="38"/>
        <v>5.1406958154531335</v>
      </c>
      <c r="R328" s="481">
        <f t="shared" si="39"/>
        <v>4.2627241807386227</v>
      </c>
      <c r="S328" s="481">
        <f t="shared" si="40"/>
        <v>4.0928702676069122</v>
      </c>
    </row>
    <row r="329" spans="1:19">
      <c r="A329" s="12" t="s">
        <v>25</v>
      </c>
      <c r="B329" s="324" t="s">
        <v>80</v>
      </c>
      <c r="C329" s="329">
        <v>1.8560134718227432</v>
      </c>
      <c r="D329" s="329">
        <v>1.8152215314521964</v>
      </c>
      <c r="E329" s="329">
        <v>1.7979279925217375</v>
      </c>
      <c r="F329" s="329">
        <v>1.7736992270475671</v>
      </c>
      <c r="G329" s="329">
        <v>1.7484964755788579</v>
      </c>
      <c r="H329" s="327"/>
      <c r="I329" s="327"/>
      <c r="J329" t="b">
        <f t="shared" si="41"/>
        <v>1</v>
      </c>
      <c r="K329" s="12" t="s">
        <v>25</v>
      </c>
      <c r="L329" s="324" t="s">
        <v>80</v>
      </c>
      <c r="M329" s="481">
        <f t="shared" ref="M329:M343" si="42">((C329*F$34)/F$13)*(1-F$13)</f>
        <v>8.5833263439657195</v>
      </c>
      <c r="N329" s="481">
        <f t="shared" ref="N329:N343" si="43">((D329*G$34)/G$13)*(1-G$13)</f>
        <v>9.1312396620225407</v>
      </c>
      <c r="O329" s="481">
        <f t="shared" ref="O329:O343" si="44">((E329*H$34)/H$13)*(1-H$13)</f>
        <v>6.7175007936778997</v>
      </c>
      <c r="P329" s="481">
        <f t="shared" ref="P329:P343" si="45">((F329*I$34)/I$13)*(1-I$13)</f>
        <v>6.7798787739626203</v>
      </c>
      <c r="Q329" s="481">
        <f t="shared" ref="Q329:Q343" si="46">((G329*J$34)/J$13)*(1-J$13)</f>
        <v>6.7863054894213874</v>
      </c>
      <c r="R329" s="327"/>
      <c r="S329" s="327"/>
    </row>
    <row r="330" spans="1:19">
      <c r="A330" s="12" t="s">
        <v>25</v>
      </c>
      <c r="B330" s="324" t="s">
        <v>81</v>
      </c>
      <c r="C330" s="329">
        <v>1.338141135548405</v>
      </c>
      <c r="D330" s="329">
        <v>1.3118504623849501</v>
      </c>
      <c r="E330" s="329">
        <v>1.305225167423345</v>
      </c>
      <c r="F330" s="329">
        <v>1.2886796623765773</v>
      </c>
      <c r="G330" s="329">
        <v>1.2709115989265294</v>
      </c>
      <c r="H330" s="327"/>
      <c r="I330" s="327"/>
      <c r="J330" t="b">
        <f t="shared" si="41"/>
        <v>1</v>
      </c>
      <c r="K330" s="12" t="s">
        <v>25</v>
      </c>
      <c r="L330" s="324" t="s">
        <v>81</v>
      </c>
      <c r="M330" s="481">
        <f t="shared" si="42"/>
        <v>6.1883721401100686</v>
      </c>
      <c r="N330" s="481">
        <f t="shared" si="43"/>
        <v>6.5990959038420405</v>
      </c>
      <c r="O330" s="481">
        <f t="shared" si="44"/>
        <v>4.8766419648414718</v>
      </c>
      <c r="P330" s="481">
        <f t="shared" si="45"/>
        <v>4.9259151473656031</v>
      </c>
      <c r="Q330" s="481">
        <f t="shared" si="46"/>
        <v>4.9326918760354328</v>
      </c>
      <c r="R330" s="327"/>
      <c r="S330" s="327"/>
    </row>
    <row r="331" spans="1:19">
      <c r="A331" s="12" t="s">
        <v>25</v>
      </c>
      <c r="B331" s="324" t="s">
        <v>82</v>
      </c>
      <c r="C331" s="329">
        <v>0.99104421987024149</v>
      </c>
      <c r="D331" s="329">
        <v>0.97030415837322381</v>
      </c>
      <c r="E331" s="329">
        <v>0.96243789501775268</v>
      </c>
      <c r="F331" s="329">
        <v>0.94766848511264923</v>
      </c>
      <c r="G331" s="329">
        <v>0.93824870565692475</v>
      </c>
      <c r="H331" s="327"/>
      <c r="I331" s="327"/>
      <c r="J331" t="b">
        <f t="shared" si="41"/>
        <v>1</v>
      </c>
      <c r="K331" s="12" t="s">
        <v>25</v>
      </c>
      <c r="L331" s="324" t="s">
        <v>82</v>
      </c>
      <c r="M331" s="481">
        <f t="shared" si="42"/>
        <v>4.5831865391005095</v>
      </c>
      <c r="N331" s="481">
        <f t="shared" si="43"/>
        <v>4.8809909212980873</v>
      </c>
      <c r="O331" s="481">
        <f t="shared" si="44"/>
        <v>3.5959044803454638</v>
      </c>
      <c r="P331" s="481">
        <f t="shared" si="45"/>
        <v>3.622416556872218</v>
      </c>
      <c r="Q331" s="481">
        <f t="shared" si="46"/>
        <v>3.6415528601704263</v>
      </c>
      <c r="R331" s="327"/>
      <c r="S331" s="327"/>
    </row>
    <row r="332" spans="1:19">
      <c r="A332" s="12" t="s">
        <v>25</v>
      </c>
      <c r="B332" s="324" t="s">
        <v>83</v>
      </c>
      <c r="C332" s="329">
        <v>1.2910496821028619</v>
      </c>
      <c r="D332" s="329">
        <v>1.2750295337136959</v>
      </c>
      <c r="E332" s="329">
        <v>1.2614754781555608</v>
      </c>
      <c r="F332" s="329">
        <v>1.2360763844788194</v>
      </c>
      <c r="G332" s="329">
        <v>1.2156373101435318</v>
      </c>
      <c r="H332" s="327"/>
      <c r="I332" s="327"/>
      <c r="J332" t="b">
        <f t="shared" si="41"/>
        <v>1</v>
      </c>
      <c r="K332" s="12" t="s">
        <v>25</v>
      </c>
      <c r="L332" s="324" t="s">
        <v>83</v>
      </c>
      <c r="M332" s="481">
        <f t="shared" si="42"/>
        <v>5.9705928410526052</v>
      </c>
      <c r="N332" s="481">
        <f t="shared" si="43"/>
        <v>6.4138729332845683</v>
      </c>
      <c r="O332" s="481">
        <f t="shared" si="44"/>
        <v>4.7131823749124564</v>
      </c>
      <c r="P332" s="481">
        <f t="shared" si="45"/>
        <v>4.724841683600542</v>
      </c>
      <c r="Q332" s="481">
        <f t="shared" si="46"/>
        <v>4.7181600112984814</v>
      </c>
      <c r="R332" s="327"/>
      <c r="S332" s="327"/>
    </row>
    <row r="333" spans="1:19">
      <c r="A333" s="12" t="s">
        <v>25</v>
      </c>
      <c r="B333" s="324" t="s">
        <v>84</v>
      </c>
      <c r="C333" s="329">
        <v>1.2693796122665177</v>
      </c>
      <c r="D333" s="329">
        <v>1.2456515312513812</v>
      </c>
      <c r="E333" s="329">
        <v>1.2761225755818488</v>
      </c>
      <c r="F333" s="329">
        <v>1.2778726893812531</v>
      </c>
      <c r="G333" s="329">
        <v>1.2727838897081032</v>
      </c>
      <c r="H333" s="327"/>
      <c r="I333" s="327"/>
      <c r="J333" t="b">
        <f t="shared" si="41"/>
        <v>1</v>
      </c>
      <c r="K333" s="12" t="s">
        <v>25</v>
      </c>
      <c r="L333" s="324" t="s">
        <v>84</v>
      </c>
      <c r="M333" s="481">
        <f t="shared" si="42"/>
        <v>5.8703773608712018</v>
      </c>
      <c r="N333" s="481">
        <f t="shared" si="43"/>
        <v>6.2660906507219138</v>
      </c>
      <c r="O333" s="481">
        <f t="shared" si="44"/>
        <v>4.767907530199774</v>
      </c>
      <c r="P333" s="481">
        <f t="shared" si="45"/>
        <v>4.8846060202574249</v>
      </c>
      <c r="Q333" s="481">
        <f t="shared" si="46"/>
        <v>4.9399586548858627</v>
      </c>
      <c r="R333" s="327"/>
      <c r="S333" s="327"/>
    </row>
    <row r="334" spans="1:19">
      <c r="A334" s="12" t="s">
        <v>25</v>
      </c>
      <c r="B334" s="324" t="s">
        <v>85</v>
      </c>
      <c r="C334" s="329">
        <v>0.9684370522563619</v>
      </c>
      <c r="D334" s="329">
        <v>0.97408615926807074</v>
      </c>
      <c r="E334" s="329">
        <v>0.97438656582868766</v>
      </c>
      <c r="F334" s="329">
        <v>0.96522259273076072</v>
      </c>
      <c r="G334" s="329">
        <v>0.95735847603512469</v>
      </c>
      <c r="H334" s="327"/>
      <c r="I334" s="327"/>
      <c r="J334" t="b">
        <f t="shared" si="41"/>
        <v>1</v>
      </c>
      <c r="K334" s="12" t="s">
        <v>25</v>
      </c>
      <c r="L334" s="324" t="s">
        <v>85</v>
      </c>
      <c r="M334" s="481">
        <f t="shared" si="42"/>
        <v>4.4786373532844728</v>
      </c>
      <c r="N334" s="481">
        <f t="shared" si="43"/>
        <v>4.9000157929043668</v>
      </c>
      <c r="O334" s="481">
        <f t="shared" si="44"/>
        <v>3.6405476507002854</v>
      </c>
      <c r="P334" s="481">
        <f t="shared" si="45"/>
        <v>3.6895162769493344</v>
      </c>
      <c r="Q334" s="481">
        <f t="shared" si="46"/>
        <v>3.7157221487165915</v>
      </c>
      <c r="R334" s="327"/>
      <c r="S334" s="327"/>
    </row>
    <row r="335" spans="1:19">
      <c r="A335" s="12" t="s">
        <v>25</v>
      </c>
      <c r="B335" s="324" t="s">
        <v>86</v>
      </c>
      <c r="C335" s="329">
        <v>2.0413918945479947</v>
      </c>
      <c r="D335" s="329">
        <v>2.002834526545016</v>
      </c>
      <c r="E335" s="329">
        <v>2.0176858680119603</v>
      </c>
      <c r="F335" s="329">
        <v>2.010800066369304</v>
      </c>
      <c r="G335" s="329">
        <v>2.012461933717149</v>
      </c>
      <c r="H335" s="327"/>
      <c r="I335" s="327"/>
      <c r="J335" t="b">
        <f t="shared" si="41"/>
        <v>1</v>
      </c>
      <c r="K335" s="12" t="s">
        <v>25</v>
      </c>
      <c r="L335" s="324" t="s">
        <v>86</v>
      </c>
      <c r="M335" s="481">
        <f t="shared" si="42"/>
        <v>9.4406280411445778</v>
      </c>
      <c r="N335" s="481">
        <f t="shared" si="43"/>
        <v>10.075002829337917</v>
      </c>
      <c r="O335" s="481">
        <f t="shared" si="44"/>
        <v>7.5385702186841916</v>
      </c>
      <c r="P335" s="481">
        <f t="shared" si="45"/>
        <v>7.686185166440433</v>
      </c>
      <c r="Q335" s="481">
        <f t="shared" si="46"/>
        <v>7.810814410429348</v>
      </c>
      <c r="R335" s="327"/>
      <c r="S335" s="327"/>
    </row>
    <row r="336" spans="1:19">
      <c r="A336" s="12" t="s">
        <v>25</v>
      </c>
      <c r="B336" s="324" t="s">
        <v>87</v>
      </c>
      <c r="C336" s="329">
        <v>1.30814382516961</v>
      </c>
      <c r="D336" s="329">
        <v>1.2655629156032961</v>
      </c>
      <c r="E336" s="329">
        <v>1.253112719644278</v>
      </c>
      <c r="F336" s="329">
        <v>1.2591017686030721</v>
      </c>
      <c r="G336" s="329">
        <v>1.2643657265074015</v>
      </c>
      <c r="H336" s="328"/>
      <c r="I336" s="328"/>
      <c r="J336" t="b">
        <f t="shared" si="41"/>
        <v>1</v>
      </c>
      <c r="K336" s="12" t="s">
        <v>25</v>
      </c>
      <c r="L336" s="324" t="s">
        <v>87</v>
      </c>
      <c r="M336" s="481">
        <f t="shared" si="42"/>
        <v>6.0496464744124134</v>
      </c>
      <c r="N336" s="481">
        <f t="shared" si="43"/>
        <v>6.3662523221045397</v>
      </c>
      <c r="O336" s="481">
        <f t="shared" si="44"/>
        <v>4.6819370540928578</v>
      </c>
      <c r="P336" s="481">
        <f t="shared" si="45"/>
        <v>4.8128550912323487</v>
      </c>
      <c r="Q336" s="481">
        <f t="shared" si="46"/>
        <v>4.9072858826282841</v>
      </c>
      <c r="R336" s="328"/>
      <c r="S336" s="328"/>
    </row>
    <row r="337" spans="1:19">
      <c r="A337" s="12" t="s">
        <v>27</v>
      </c>
      <c r="B337" s="324" t="s">
        <v>88</v>
      </c>
      <c r="C337" s="329">
        <v>2.4079045095034153</v>
      </c>
      <c r="D337" s="329">
        <v>2.4996671737090232</v>
      </c>
      <c r="E337" s="329">
        <v>2.5160510965805876</v>
      </c>
      <c r="F337" s="329">
        <v>2.3238778201799244</v>
      </c>
      <c r="G337" s="329">
        <v>2.2881683619967679</v>
      </c>
      <c r="H337" s="327"/>
      <c r="I337" s="327"/>
      <c r="J337" t="b">
        <f t="shared" si="41"/>
        <v>1</v>
      </c>
      <c r="K337" s="12" t="s">
        <v>27</v>
      </c>
      <c r="L337" s="324" t="s">
        <v>88</v>
      </c>
      <c r="M337" s="481">
        <f t="shared" si="42"/>
        <v>11.135603552423126</v>
      </c>
      <c r="N337" s="481">
        <f t="shared" si="43"/>
        <v>12.574255892704915</v>
      </c>
      <c r="O337" s="481">
        <f t="shared" si="44"/>
        <v>9.4005851783354455</v>
      </c>
      <c r="P337" s="481">
        <f t="shared" si="45"/>
        <v>8.8829096083819064</v>
      </c>
      <c r="Q337" s="481">
        <f t="shared" si="46"/>
        <v>8.880892659848362</v>
      </c>
      <c r="R337" s="327"/>
      <c r="S337" s="327"/>
    </row>
    <row r="338" spans="1:19">
      <c r="A338" s="12" t="s">
        <v>27</v>
      </c>
      <c r="B338" s="324" t="s">
        <v>89</v>
      </c>
      <c r="C338" s="329">
        <v>0.35535269898445798</v>
      </c>
      <c r="D338" s="329">
        <v>0.33811521212748413</v>
      </c>
      <c r="E338" s="329">
        <v>0.35287450221706412</v>
      </c>
      <c r="F338" s="329">
        <v>0.33060618568728362</v>
      </c>
      <c r="G338" s="329">
        <v>0.30228187223292602</v>
      </c>
      <c r="H338" s="327"/>
      <c r="I338" s="327"/>
      <c r="J338" t="b">
        <f t="shared" si="41"/>
        <v>1</v>
      </c>
      <c r="K338" s="12" t="s">
        <v>27</v>
      </c>
      <c r="L338" s="324" t="s">
        <v>89</v>
      </c>
      <c r="M338" s="481">
        <f t="shared" si="42"/>
        <v>1.6433653251434568</v>
      </c>
      <c r="N338" s="481">
        <f t="shared" si="43"/>
        <v>1.700845313817805</v>
      </c>
      <c r="O338" s="481">
        <f t="shared" si="44"/>
        <v>1.3184258538558589</v>
      </c>
      <c r="P338" s="481">
        <f t="shared" si="45"/>
        <v>1.2637260177493705</v>
      </c>
      <c r="Q338" s="481">
        <f t="shared" si="46"/>
        <v>1.1732234851704522</v>
      </c>
      <c r="R338" s="327"/>
      <c r="S338" s="327"/>
    </row>
    <row r="339" spans="1:19">
      <c r="A339" s="12" t="s">
        <v>27</v>
      </c>
      <c r="B339" s="324" t="s">
        <v>90</v>
      </c>
      <c r="C339" s="329">
        <f>C337+C338</f>
        <v>2.7632572084878735</v>
      </c>
      <c r="D339" s="329">
        <f t="shared" ref="D339:G339" si="47">D337+D338</f>
        <v>2.8377823858365074</v>
      </c>
      <c r="E339" s="329">
        <f t="shared" si="47"/>
        <v>2.8689255987976519</v>
      </c>
      <c r="F339" s="329">
        <f t="shared" si="47"/>
        <v>2.6544840058672081</v>
      </c>
      <c r="G339" s="329">
        <f t="shared" si="47"/>
        <v>2.590450234229694</v>
      </c>
      <c r="H339" s="327"/>
      <c r="I339" s="327"/>
      <c r="J339" t="b">
        <f t="shared" si="41"/>
        <v>1</v>
      </c>
      <c r="K339" s="12" t="s">
        <v>27</v>
      </c>
      <c r="L339" s="324" t="s">
        <v>90</v>
      </c>
      <c r="M339" s="481">
        <f t="shared" si="42"/>
        <v>12.778968877566582</v>
      </c>
      <c r="N339" s="481">
        <f t="shared" si="43"/>
        <v>14.275101206522718</v>
      </c>
      <c r="O339" s="481">
        <f t="shared" si="44"/>
        <v>10.719011032191304</v>
      </c>
      <c r="P339" s="481">
        <f t="shared" si="45"/>
        <v>10.146635626131278</v>
      </c>
      <c r="Q339" s="481">
        <f t="shared" si="46"/>
        <v>10.054116145018813</v>
      </c>
      <c r="R339" s="327"/>
      <c r="S339" s="327"/>
    </row>
    <row r="340" spans="1:19">
      <c r="A340" s="12" t="s">
        <v>22</v>
      </c>
      <c r="B340" s="324" t="s">
        <v>91</v>
      </c>
      <c r="C340" s="329">
        <v>5.794647515116063</v>
      </c>
      <c r="D340" s="329">
        <v>5.6654995528096048</v>
      </c>
      <c r="E340" s="329">
        <v>5.4459801653220365</v>
      </c>
      <c r="F340" s="329">
        <v>5.2315625946540782</v>
      </c>
      <c r="G340" s="329">
        <v>5.0709512798558656</v>
      </c>
      <c r="H340" s="327"/>
      <c r="I340" s="327"/>
      <c r="J340" t="b">
        <f t="shared" si="41"/>
        <v>1</v>
      </c>
      <c r="K340" s="12" t="s">
        <v>22</v>
      </c>
      <c r="L340" s="324" t="s">
        <v>91</v>
      </c>
      <c r="M340" s="481">
        <f t="shared" si="42"/>
        <v>26.797947011475848</v>
      </c>
      <c r="N340" s="481">
        <f t="shared" si="43"/>
        <v>28.499570617366494</v>
      </c>
      <c r="O340" s="481">
        <f t="shared" si="44"/>
        <v>20.347520164917047</v>
      </c>
      <c r="P340" s="481">
        <f t="shared" si="45"/>
        <v>19.997392821325722</v>
      </c>
      <c r="Q340" s="481">
        <f t="shared" si="46"/>
        <v>19.681494923048948</v>
      </c>
      <c r="R340" s="327"/>
      <c r="S340" s="327"/>
    </row>
    <row r="341" spans="1:19">
      <c r="A341" s="12" t="s">
        <v>29</v>
      </c>
      <c r="B341" s="324" t="s">
        <v>29</v>
      </c>
      <c r="C341" s="329">
        <v>0.79565936041617891</v>
      </c>
      <c r="D341" s="329">
        <v>0.81379329751844121</v>
      </c>
      <c r="E341" s="329">
        <v>0.83527031824680331</v>
      </c>
      <c r="F341" s="329">
        <v>0.86914049425217754</v>
      </c>
      <c r="G341" s="329">
        <v>0.88933875020036712</v>
      </c>
      <c r="H341" s="327"/>
      <c r="I341" s="327"/>
      <c r="J341" t="b">
        <f t="shared" si="41"/>
        <v>1</v>
      </c>
      <c r="K341" s="12" t="s">
        <v>29</v>
      </c>
      <c r="L341" s="324" t="s">
        <v>29</v>
      </c>
      <c r="M341" s="481">
        <f t="shared" si="42"/>
        <v>3.6796090398935095</v>
      </c>
      <c r="N341" s="481">
        <f t="shared" si="43"/>
        <v>4.0936830608458399</v>
      </c>
      <c r="O341" s="481">
        <f t="shared" si="44"/>
        <v>3.1207751640201771</v>
      </c>
      <c r="P341" s="481">
        <f t="shared" si="45"/>
        <v>3.3222471424202125</v>
      </c>
      <c r="Q341" s="481">
        <f t="shared" si="46"/>
        <v>3.4517223950605049</v>
      </c>
      <c r="R341" s="327"/>
      <c r="S341" s="327"/>
    </row>
    <row r="342" spans="1:19">
      <c r="A342" s="12" t="s">
        <v>22</v>
      </c>
      <c r="B342" s="324" t="s">
        <v>92</v>
      </c>
      <c r="C342" s="329">
        <v>1.067077173491312</v>
      </c>
      <c r="D342" s="329">
        <v>1.1377699704587949</v>
      </c>
      <c r="E342" s="329">
        <v>1.1288688837653649</v>
      </c>
      <c r="F342" s="329">
        <v>1.0874595680858687</v>
      </c>
      <c r="G342" s="329">
        <v>1.0132559350168759</v>
      </c>
      <c r="H342" s="327"/>
      <c r="I342" s="327"/>
      <c r="J342" t="b">
        <f t="shared" si="41"/>
        <v>1</v>
      </c>
      <c r="K342" s="12" t="s">
        <v>22</v>
      </c>
      <c r="L342" s="324" t="s">
        <v>92</v>
      </c>
      <c r="M342" s="481">
        <f t="shared" si="42"/>
        <v>4.9348088003249071</v>
      </c>
      <c r="N342" s="481">
        <f t="shared" si="43"/>
        <v>5.7234062622648887</v>
      </c>
      <c r="O342" s="481">
        <f t="shared" si="44"/>
        <v>4.2177315522053318</v>
      </c>
      <c r="P342" s="481">
        <f t="shared" si="45"/>
        <v>4.1567611524984986</v>
      </c>
      <c r="Q342" s="481">
        <f t="shared" si="46"/>
        <v>3.9326726762302266</v>
      </c>
      <c r="R342" s="327"/>
      <c r="S342" s="327"/>
    </row>
    <row r="343" spans="1:19">
      <c r="A343" s="12" t="s">
        <v>22</v>
      </c>
      <c r="B343" s="324" t="s">
        <v>54</v>
      </c>
      <c r="C343" s="329">
        <v>1.4458842789006556</v>
      </c>
      <c r="D343" s="329">
        <v>1.7460048691359407</v>
      </c>
      <c r="E343" s="329">
        <v>1.7400275177290305</v>
      </c>
      <c r="F343" s="329">
        <v>1.7353254561791309</v>
      </c>
      <c r="G343" s="329">
        <v>1.6416771715292762</v>
      </c>
      <c r="H343" s="327"/>
      <c r="I343" s="327"/>
      <c r="J343" t="b">
        <f t="shared" si="41"/>
        <v>1</v>
      </c>
      <c r="K343" s="12" t="s">
        <v>22</v>
      </c>
      <c r="L343" s="324" t="s">
        <v>54</v>
      </c>
      <c r="M343" s="481">
        <f t="shared" si="42"/>
        <v>6.6866414548305206</v>
      </c>
      <c r="N343" s="481">
        <f t="shared" si="43"/>
        <v>8.7830540982972245</v>
      </c>
      <c r="O343" s="481">
        <f t="shared" si="44"/>
        <v>6.5011703916862125</v>
      </c>
      <c r="P343" s="481">
        <f t="shared" si="45"/>
        <v>6.6331969066987533</v>
      </c>
      <c r="Q343" s="481">
        <f t="shared" si="46"/>
        <v>6.3717159036986821</v>
      </c>
      <c r="R343" s="327"/>
      <c r="S343" s="327"/>
    </row>
    <row r="344" spans="1:19">
      <c r="K344" s="112"/>
      <c r="L344" s="112"/>
      <c r="M344" s="112"/>
    </row>
    <row r="345" spans="1:19">
      <c r="K345" s="112"/>
      <c r="L345" s="112"/>
      <c r="M345" s="341"/>
    </row>
    <row r="346" spans="1:19">
      <c r="K346" s="112"/>
      <c r="M346" s="112"/>
    </row>
    <row r="347" spans="1:19">
      <c r="K347" s="95" t="s">
        <v>241</v>
      </c>
      <c r="L347" s="95" t="s">
        <v>242</v>
      </c>
      <c r="M347" s="112"/>
      <c r="N347" s="112"/>
    </row>
    <row r="348" spans="1:19">
      <c r="C348" s="1245"/>
      <c r="D348" s="1245"/>
      <c r="E348" s="1245"/>
      <c r="F348" s="1245"/>
      <c r="G348" s="1245"/>
      <c r="J348" s="330"/>
      <c r="K348" s="112"/>
      <c r="L348" s="332"/>
      <c r="M348" s="112"/>
      <c r="N348" s="112"/>
    </row>
    <row r="349" spans="1:19">
      <c r="C349" s="1253"/>
      <c r="D349" s="1253"/>
      <c r="E349" s="1253"/>
      <c r="F349" s="1253"/>
      <c r="G349" s="1253"/>
      <c r="J349" s="330"/>
      <c r="K349" s="48" t="s">
        <v>6</v>
      </c>
      <c r="L349" s="325" t="s">
        <v>3</v>
      </c>
      <c r="M349" s="171">
        <v>2022</v>
      </c>
      <c r="N349" s="172">
        <f t="shared" ref="N349:S349" si="48">M349+1</f>
        <v>2023</v>
      </c>
      <c r="O349" s="172">
        <f t="shared" si="48"/>
        <v>2024</v>
      </c>
      <c r="P349" s="172">
        <f t="shared" si="48"/>
        <v>2025</v>
      </c>
      <c r="Q349" s="172">
        <f t="shared" si="48"/>
        <v>2026</v>
      </c>
      <c r="R349" s="172">
        <f t="shared" si="48"/>
        <v>2027</v>
      </c>
      <c r="S349" s="172">
        <f t="shared" si="48"/>
        <v>2028</v>
      </c>
    </row>
    <row r="350" spans="1:19">
      <c r="J350" s="330"/>
      <c r="K350" s="12" t="s">
        <v>19</v>
      </c>
      <c r="L350" s="324" t="s">
        <v>70</v>
      </c>
      <c r="M350" s="327"/>
      <c r="N350" s="327"/>
      <c r="O350" s="481">
        <f t="shared" ref="O350:O363" si="49">E315*H$34</f>
        <v>1.7892495885240058</v>
      </c>
      <c r="P350" s="481">
        <f t="shared" ref="P350:P363" si="50">F315*I$34</f>
        <v>1.7580420918807742</v>
      </c>
      <c r="Q350" s="481">
        <f t="shared" ref="Q350:Q363" si="51">G315*J$34</f>
        <v>1.6811079844775063</v>
      </c>
      <c r="R350" s="481">
        <f t="shared" ref="R350:R363" si="52">H315*K$34</f>
        <v>1.6647326978333103</v>
      </c>
      <c r="S350" s="481">
        <f t="shared" ref="S350:S363" si="53">I315*L$34</f>
        <v>1.6975584697645543</v>
      </c>
    </row>
    <row r="351" spans="1:19">
      <c r="J351" s="330"/>
      <c r="K351" s="12" t="s">
        <v>19</v>
      </c>
      <c r="L351" s="324" t="s">
        <v>71</v>
      </c>
      <c r="M351" s="327"/>
      <c r="N351" s="327"/>
      <c r="O351" s="481">
        <f t="shared" si="49"/>
        <v>1.7044485176462936</v>
      </c>
      <c r="P351" s="481">
        <f t="shared" si="50"/>
        <v>1.7848729781466806</v>
      </c>
      <c r="Q351" s="481">
        <f t="shared" si="51"/>
        <v>1.674640472417616</v>
      </c>
      <c r="R351" s="481">
        <f t="shared" si="52"/>
        <v>1.5327719791934955</v>
      </c>
      <c r="S351" s="481">
        <f t="shared" si="53"/>
        <v>1.369089229173815</v>
      </c>
    </row>
    <row r="352" spans="1:19">
      <c r="J352" s="330"/>
      <c r="K352" s="12" t="s">
        <v>19</v>
      </c>
      <c r="L352" s="324" t="s">
        <v>72</v>
      </c>
      <c r="M352" s="327"/>
      <c r="N352" s="327"/>
      <c r="O352" s="481">
        <f t="shared" si="49"/>
        <v>2.3062458621191442</v>
      </c>
      <c r="P352" s="481">
        <f t="shared" si="50"/>
        <v>2.3635484288296045</v>
      </c>
      <c r="Q352" s="481">
        <f t="shared" si="51"/>
        <v>2.064204353516538</v>
      </c>
      <c r="R352" s="481">
        <f t="shared" si="52"/>
        <v>1.879620618320331</v>
      </c>
      <c r="S352" s="481">
        <f t="shared" si="53"/>
        <v>1.6274054745752422</v>
      </c>
    </row>
    <row r="353" spans="10:19">
      <c r="J353" s="330"/>
      <c r="K353" s="12" t="s">
        <v>19</v>
      </c>
      <c r="L353" s="324" t="s">
        <v>52</v>
      </c>
      <c r="M353" s="327"/>
      <c r="N353" s="327"/>
      <c r="O353" s="481">
        <f t="shared" si="49"/>
        <v>2.4452060296076255</v>
      </c>
      <c r="P353" s="481">
        <f t="shared" si="50"/>
        <v>2.6863646374710455</v>
      </c>
      <c r="Q353" s="481">
        <f t="shared" si="51"/>
        <v>3.2451122080674542</v>
      </c>
      <c r="R353" s="481">
        <f t="shared" si="52"/>
        <v>3.2471214518764357</v>
      </c>
      <c r="S353" s="481">
        <f t="shared" si="53"/>
        <v>3.1949778277167824</v>
      </c>
    </row>
    <row r="354" spans="10:19">
      <c r="J354" s="330"/>
      <c r="K354" s="12" t="s">
        <v>19</v>
      </c>
      <c r="L354" s="324" t="s">
        <v>4</v>
      </c>
      <c r="M354" s="327"/>
      <c r="N354" s="327"/>
      <c r="O354" s="481">
        <f t="shared" si="49"/>
        <v>1.6283045018074185</v>
      </c>
      <c r="P354" s="481">
        <f t="shared" si="50"/>
        <v>1.6565505631823636</v>
      </c>
      <c r="Q354" s="481">
        <f t="shared" si="51"/>
        <v>1.994613190726872</v>
      </c>
      <c r="R354" s="481">
        <f t="shared" si="52"/>
        <v>2.0789196066073865</v>
      </c>
      <c r="S354" s="481">
        <f t="shared" si="53"/>
        <v>2.1199115401297548</v>
      </c>
    </row>
    <row r="355" spans="10:19">
      <c r="J355" s="330"/>
      <c r="K355" s="12" t="s">
        <v>19</v>
      </c>
      <c r="L355" s="324" t="s">
        <v>73</v>
      </c>
      <c r="M355" s="327"/>
      <c r="N355" s="327"/>
      <c r="O355" s="481">
        <f t="shared" si="49"/>
        <v>2.5147098607524767</v>
      </c>
      <c r="P355" s="481">
        <f t="shared" si="50"/>
        <v>2.0111359536328322</v>
      </c>
      <c r="Q355" s="481">
        <f t="shared" si="51"/>
        <v>2.2888374165253715</v>
      </c>
      <c r="R355" s="481">
        <f t="shared" si="52"/>
        <v>2.2979805846553809</v>
      </c>
      <c r="S355" s="481">
        <f t="shared" si="53"/>
        <v>2.2000967765397728</v>
      </c>
    </row>
    <row r="356" spans="10:19">
      <c r="J356" s="330"/>
      <c r="K356" s="12" t="s">
        <v>19</v>
      </c>
      <c r="L356" s="324" t="s">
        <v>74</v>
      </c>
      <c r="M356" s="327"/>
      <c r="N356" s="327"/>
      <c r="O356" s="481">
        <f t="shared" si="49"/>
        <v>1.9202047204235748</v>
      </c>
      <c r="P356" s="481">
        <f t="shared" si="50"/>
        <v>1.9649551935208878</v>
      </c>
      <c r="Q356" s="481">
        <f t="shared" si="51"/>
        <v>1.5507971113617918</v>
      </c>
      <c r="R356" s="481">
        <f t="shared" si="52"/>
        <v>1.5902890243792054</v>
      </c>
      <c r="S356" s="481">
        <f t="shared" si="53"/>
        <v>1.6193652623223738</v>
      </c>
    </row>
    <row r="357" spans="10:19">
      <c r="J357" s="330"/>
      <c r="K357" s="12" t="s">
        <v>19</v>
      </c>
      <c r="L357" s="324" t="s">
        <v>75</v>
      </c>
      <c r="M357" s="327"/>
      <c r="N357" s="327"/>
      <c r="O357" s="481">
        <f t="shared" si="49"/>
        <v>1.6975251045890898</v>
      </c>
      <c r="P357" s="481">
        <f t="shared" si="50"/>
        <v>1.7543655520322081</v>
      </c>
      <c r="Q357" s="481">
        <f t="shared" si="51"/>
        <v>1.759814387103632</v>
      </c>
      <c r="R357" s="481">
        <f t="shared" si="52"/>
        <v>1.7680790816040324</v>
      </c>
      <c r="S357" s="481">
        <f t="shared" si="53"/>
        <v>1.7710650214858294</v>
      </c>
    </row>
    <row r="358" spans="10:19">
      <c r="J358" s="330"/>
      <c r="K358" s="12" t="s">
        <v>19</v>
      </c>
      <c r="L358" s="324" t="s">
        <v>76</v>
      </c>
      <c r="M358" s="327"/>
      <c r="N358" s="327"/>
      <c r="O358" s="481">
        <f t="shared" si="49"/>
        <v>1.1045735829991152</v>
      </c>
      <c r="P358" s="481">
        <f t="shared" si="50"/>
        <v>1.2481154878835481</v>
      </c>
      <c r="Q358" s="481">
        <f t="shared" si="51"/>
        <v>0.9794682936946647</v>
      </c>
      <c r="R358" s="481">
        <f t="shared" si="52"/>
        <v>0.9393458114391412</v>
      </c>
      <c r="S358" s="481">
        <f t="shared" si="53"/>
        <v>0.90145128468921265</v>
      </c>
    </row>
    <row r="359" spans="10:19">
      <c r="J359" s="330"/>
      <c r="K359" s="12" t="s">
        <v>19</v>
      </c>
      <c r="L359" s="324" t="s">
        <v>50</v>
      </c>
      <c r="M359" s="327"/>
      <c r="N359" s="327"/>
      <c r="O359" s="481">
        <f t="shared" si="49"/>
        <v>3.1805509860299637</v>
      </c>
      <c r="P359" s="481">
        <f t="shared" si="50"/>
        <v>3.443726313384269</v>
      </c>
      <c r="Q359" s="481">
        <f t="shared" si="51"/>
        <v>3.2027703322122294</v>
      </c>
      <c r="R359" s="481">
        <f t="shared" si="52"/>
        <v>2.8395998744587176</v>
      </c>
      <c r="S359" s="481">
        <f t="shared" si="53"/>
        <v>2.3794962571487357</v>
      </c>
    </row>
    <row r="360" spans="10:19">
      <c r="J360" s="330"/>
      <c r="K360" s="12" t="s">
        <v>19</v>
      </c>
      <c r="L360" s="1256" t="s">
        <v>51</v>
      </c>
      <c r="M360" s="327"/>
      <c r="N360" s="327"/>
      <c r="O360" s="481">
        <f t="shared" si="49"/>
        <v>2.6894129288748267</v>
      </c>
      <c r="P360" s="481">
        <f t="shared" si="50"/>
        <v>2.6869072086597572</v>
      </c>
      <c r="Q360" s="481">
        <f t="shared" si="51"/>
        <v>2.5319936565029257</v>
      </c>
      <c r="R360" s="481">
        <f t="shared" si="52"/>
        <v>2.209021816450909</v>
      </c>
      <c r="S360" s="481">
        <f t="shared" si="53"/>
        <v>1.8921211750749203</v>
      </c>
    </row>
    <row r="361" spans="10:19">
      <c r="J361" s="330"/>
      <c r="K361" s="12" t="s">
        <v>19</v>
      </c>
      <c r="L361" s="1256" t="s">
        <v>77</v>
      </c>
      <c r="M361" s="327"/>
      <c r="N361" s="327"/>
      <c r="O361" s="481">
        <f t="shared" si="49"/>
        <v>2.9043778341096229</v>
      </c>
      <c r="P361" s="481">
        <f t="shared" si="50"/>
        <v>2.9628289717220282</v>
      </c>
      <c r="Q361" s="481">
        <f t="shared" si="51"/>
        <v>2.8062698024668649</v>
      </c>
      <c r="R361" s="481">
        <f t="shared" si="52"/>
        <v>2.4167890178297453</v>
      </c>
      <c r="S361" s="481">
        <f t="shared" si="53"/>
        <v>2.2833714738740758</v>
      </c>
    </row>
    <row r="362" spans="10:19">
      <c r="J362" s="330"/>
      <c r="K362" s="12" t="s">
        <v>19</v>
      </c>
      <c r="L362" s="1256" t="s">
        <v>78</v>
      </c>
      <c r="M362" s="327"/>
      <c r="N362" s="327"/>
      <c r="O362" s="481">
        <f t="shared" si="49"/>
        <v>1.1717335690418802</v>
      </c>
      <c r="P362" s="481">
        <f t="shared" si="50"/>
        <v>1.1381649461970083</v>
      </c>
      <c r="Q362" s="481">
        <f t="shared" si="51"/>
        <v>1.0998895810445213</v>
      </c>
      <c r="R362" s="481">
        <f t="shared" si="52"/>
        <v>0.92600168593128307</v>
      </c>
      <c r="S362" s="481">
        <f t="shared" si="53"/>
        <v>0.94588260144871661</v>
      </c>
    </row>
    <row r="363" spans="10:19">
      <c r="J363" s="330"/>
      <c r="K363" s="12" t="s">
        <v>19</v>
      </c>
      <c r="L363" s="1256" t="s">
        <v>79</v>
      </c>
      <c r="M363" s="327"/>
      <c r="N363" s="327"/>
      <c r="O363" s="481">
        <f t="shared" si="49"/>
        <v>1.6861133755679081</v>
      </c>
      <c r="P363" s="481">
        <f t="shared" si="50"/>
        <v>1.7826452923392382</v>
      </c>
      <c r="Q363" s="481">
        <f t="shared" si="51"/>
        <v>1.713565271817711</v>
      </c>
      <c r="R363" s="481">
        <f t="shared" si="52"/>
        <v>1.4209080602462074</v>
      </c>
      <c r="S363" s="481">
        <f t="shared" si="53"/>
        <v>1.3642900892023042</v>
      </c>
    </row>
    <row r="364" spans="10:19">
      <c r="J364" s="330"/>
      <c r="K364" s="12" t="s">
        <v>25</v>
      </c>
      <c r="L364" s="324" t="s">
        <v>80</v>
      </c>
      <c r="M364" s="481">
        <f t="shared" ref="M364:M378" si="54">C329*F$34</f>
        <v>2.0133728461154154</v>
      </c>
      <c r="N364" s="481">
        <f t="shared" ref="N364:N378" si="55">D329*G$34</f>
        <v>2.1418957231904723</v>
      </c>
      <c r="O364" s="481">
        <f t="shared" ref="O364:O378" si="56">E329*H$34</f>
        <v>2.2391669312259666</v>
      </c>
      <c r="P364" s="481">
        <f t="shared" ref="P364:P378" si="57">F329*I$34</f>
        <v>2.2599595913208734</v>
      </c>
      <c r="Q364" s="481">
        <f t="shared" ref="Q364:Q378" si="58">G329*J$34</f>
        <v>2.2621018298071291</v>
      </c>
      <c r="R364" s="327"/>
      <c r="S364" s="327"/>
    </row>
    <row r="365" spans="10:19">
      <c r="J365" s="330"/>
      <c r="K365" s="12" t="s">
        <v>25</v>
      </c>
      <c r="L365" s="324" t="s">
        <v>81</v>
      </c>
      <c r="M365" s="481">
        <f t="shared" si="54"/>
        <v>1.45159346496409</v>
      </c>
      <c r="N365" s="481">
        <f t="shared" si="55"/>
        <v>1.5479360762098613</v>
      </c>
      <c r="O365" s="481">
        <f t="shared" si="56"/>
        <v>1.6255473216138241</v>
      </c>
      <c r="P365" s="481">
        <f t="shared" si="57"/>
        <v>1.6419717157885343</v>
      </c>
      <c r="Q365" s="481">
        <f t="shared" si="58"/>
        <v>1.6442306253451442</v>
      </c>
      <c r="R365" s="327"/>
      <c r="S365" s="327"/>
    </row>
    <row r="366" spans="10:19">
      <c r="J366" s="330"/>
      <c r="K366" s="12" t="s">
        <v>25</v>
      </c>
      <c r="L366" s="324" t="s">
        <v>82</v>
      </c>
      <c r="M366" s="481">
        <f t="shared" si="54"/>
        <v>1.0750684474433292</v>
      </c>
      <c r="N366" s="481">
        <f t="shared" si="55"/>
        <v>1.1449237963538723</v>
      </c>
      <c r="O366" s="481">
        <f t="shared" si="56"/>
        <v>1.1986348267818212</v>
      </c>
      <c r="P366" s="481">
        <f t="shared" si="57"/>
        <v>1.2074721856240727</v>
      </c>
      <c r="Q366" s="481">
        <f t="shared" si="58"/>
        <v>1.213850953390142</v>
      </c>
      <c r="R366" s="327"/>
      <c r="S366" s="327"/>
    </row>
    <row r="367" spans="10:19">
      <c r="J367" s="330"/>
      <c r="K367" s="12" t="s">
        <v>25</v>
      </c>
      <c r="L367" s="324" t="s">
        <v>83</v>
      </c>
      <c r="M367" s="481">
        <f t="shared" si="54"/>
        <v>1.4005094318518456</v>
      </c>
      <c r="N367" s="481">
        <f t="shared" si="55"/>
        <v>1.5044887127457629</v>
      </c>
      <c r="O367" s="481">
        <f t="shared" si="56"/>
        <v>1.5710607916374855</v>
      </c>
      <c r="P367" s="481">
        <f t="shared" si="57"/>
        <v>1.5749472278668473</v>
      </c>
      <c r="Q367" s="481">
        <f t="shared" si="58"/>
        <v>1.5727200037661606</v>
      </c>
      <c r="R367" s="327"/>
      <c r="S367" s="327"/>
    </row>
    <row r="368" spans="10:19">
      <c r="J368" s="330"/>
      <c r="K368" s="12" t="s">
        <v>25</v>
      </c>
      <c r="L368" s="324" t="s">
        <v>84</v>
      </c>
      <c r="M368" s="481">
        <f t="shared" si="54"/>
        <v>1.3770020969944794</v>
      </c>
      <c r="N368" s="481">
        <f t="shared" si="55"/>
        <v>1.4698237328853871</v>
      </c>
      <c r="O368" s="481">
        <f t="shared" si="56"/>
        <v>1.5893025100665914</v>
      </c>
      <c r="P368" s="481">
        <f t="shared" si="57"/>
        <v>1.628202006752475</v>
      </c>
      <c r="Q368" s="481">
        <f t="shared" si="58"/>
        <v>1.6466528849619542</v>
      </c>
      <c r="R368" s="327"/>
      <c r="S368" s="327"/>
    </row>
    <row r="369" spans="9:19">
      <c r="J369" s="330"/>
      <c r="K369" s="12" t="s">
        <v>25</v>
      </c>
      <c r="L369" s="324" t="s">
        <v>85</v>
      </c>
      <c r="M369" s="481">
        <f t="shared" si="54"/>
        <v>1.0505445643506788</v>
      </c>
      <c r="N369" s="481">
        <f t="shared" si="55"/>
        <v>1.1493864205578144</v>
      </c>
      <c r="O369" s="481">
        <f t="shared" si="56"/>
        <v>1.2135158835667619</v>
      </c>
      <c r="P369" s="481">
        <f t="shared" si="57"/>
        <v>1.2298387589831115</v>
      </c>
      <c r="Q369" s="481">
        <f t="shared" si="58"/>
        <v>1.2385740495721971</v>
      </c>
      <c r="R369" s="327"/>
      <c r="S369" s="327"/>
    </row>
    <row r="370" spans="9:19">
      <c r="J370" s="330"/>
      <c r="K370" s="12" t="s">
        <v>25</v>
      </c>
      <c r="L370" s="324" t="s">
        <v>86</v>
      </c>
      <c r="M370" s="481">
        <f t="shared" si="54"/>
        <v>2.2144683059474937</v>
      </c>
      <c r="N370" s="481">
        <f t="shared" si="55"/>
        <v>2.3632722686101286</v>
      </c>
      <c r="O370" s="481">
        <f t="shared" si="56"/>
        <v>2.5128567395613972</v>
      </c>
      <c r="P370" s="481">
        <f t="shared" si="57"/>
        <v>2.5620617221468112</v>
      </c>
      <c r="Q370" s="481">
        <f t="shared" si="58"/>
        <v>2.6036048034764492</v>
      </c>
      <c r="R370" s="327"/>
      <c r="S370" s="327"/>
    </row>
    <row r="371" spans="9:19">
      <c r="J371" s="330"/>
      <c r="K371" s="12" t="s">
        <v>25</v>
      </c>
      <c r="L371" s="324" t="s">
        <v>87</v>
      </c>
      <c r="M371" s="481">
        <f t="shared" si="54"/>
        <v>1.4190528767140227</v>
      </c>
      <c r="N371" s="481">
        <f t="shared" si="55"/>
        <v>1.493318445925756</v>
      </c>
      <c r="O371" s="481">
        <f t="shared" si="56"/>
        <v>1.5606456846976191</v>
      </c>
      <c r="P371" s="481">
        <f t="shared" si="57"/>
        <v>1.6042850304107827</v>
      </c>
      <c r="Q371" s="481">
        <f t="shared" si="58"/>
        <v>1.6357619608760947</v>
      </c>
      <c r="R371" s="328"/>
      <c r="S371" s="328"/>
    </row>
    <row r="372" spans="9:19">
      <c r="J372" s="330"/>
      <c r="K372" s="12" t="s">
        <v>27</v>
      </c>
      <c r="L372" s="324" t="s">
        <v>88</v>
      </c>
      <c r="M372" s="481">
        <f t="shared" si="54"/>
        <v>2.6120551542720909</v>
      </c>
      <c r="N372" s="481">
        <f t="shared" si="55"/>
        <v>2.9495168143381898</v>
      </c>
      <c r="O372" s="481">
        <f t="shared" si="56"/>
        <v>3.1335283927784818</v>
      </c>
      <c r="P372" s="481">
        <f t="shared" si="57"/>
        <v>2.9609698694606355</v>
      </c>
      <c r="Q372" s="481">
        <f t="shared" si="58"/>
        <v>2.9602975532827873</v>
      </c>
      <c r="R372" s="327"/>
      <c r="S372" s="327"/>
    </row>
    <row r="373" spans="9:19">
      <c r="J373" s="330"/>
      <c r="K373" s="12" t="s">
        <v>27</v>
      </c>
      <c r="L373" s="324" t="s">
        <v>89</v>
      </c>
      <c r="M373" s="481">
        <f t="shared" si="54"/>
        <v>0.38548075528056391</v>
      </c>
      <c r="N373" s="481">
        <f t="shared" si="55"/>
        <v>0.39896371558689253</v>
      </c>
      <c r="O373" s="481">
        <f t="shared" si="56"/>
        <v>0.43947528461861962</v>
      </c>
      <c r="P373" s="481">
        <f t="shared" si="57"/>
        <v>0.42124200591645689</v>
      </c>
      <c r="Q373" s="481">
        <f t="shared" si="58"/>
        <v>0.39107449505681741</v>
      </c>
      <c r="R373" s="327"/>
      <c r="S373" s="327"/>
    </row>
    <row r="374" spans="9:19">
      <c r="J374" s="330"/>
      <c r="K374" s="12" t="s">
        <v>27</v>
      </c>
      <c r="L374" s="324" t="s">
        <v>90</v>
      </c>
      <c r="M374" s="481">
        <f t="shared" si="54"/>
        <v>2.997535909552655</v>
      </c>
      <c r="N374" s="481">
        <f t="shared" si="55"/>
        <v>3.3484805299250824</v>
      </c>
      <c r="O374" s="481">
        <f t="shared" si="56"/>
        <v>3.5730036773971015</v>
      </c>
      <c r="P374" s="481">
        <f t="shared" si="57"/>
        <v>3.3822118753770924</v>
      </c>
      <c r="Q374" s="481">
        <f t="shared" si="58"/>
        <v>3.3513720483396048</v>
      </c>
      <c r="R374" s="327"/>
      <c r="S374" s="327"/>
    </row>
    <row r="375" spans="9:19">
      <c r="K375" s="12" t="s">
        <v>22</v>
      </c>
      <c r="L375" s="324" t="s">
        <v>91</v>
      </c>
      <c r="M375" s="481">
        <f t="shared" si="54"/>
        <v>6.2859381878770506</v>
      </c>
      <c r="N375" s="481">
        <f t="shared" si="55"/>
        <v>6.6850844658020172</v>
      </c>
      <c r="O375" s="481">
        <f t="shared" si="56"/>
        <v>6.7825067216390158</v>
      </c>
      <c r="P375" s="481">
        <f t="shared" si="57"/>
        <v>6.6657976071085736</v>
      </c>
      <c r="Q375" s="481">
        <f t="shared" si="58"/>
        <v>6.560498307682983</v>
      </c>
      <c r="R375" s="327"/>
      <c r="S375" s="327"/>
    </row>
    <row r="376" spans="9:19">
      <c r="I376" s="330"/>
      <c r="K376" s="12" t="s">
        <v>29</v>
      </c>
      <c r="L376" s="324" t="s">
        <v>29</v>
      </c>
      <c r="M376" s="481">
        <f t="shared" si="54"/>
        <v>0.86311816985156387</v>
      </c>
      <c r="N376" s="481">
        <f t="shared" si="55"/>
        <v>0.96024664390211045</v>
      </c>
      <c r="O376" s="481">
        <f t="shared" si="56"/>
        <v>1.0402583880067258</v>
      </c>
      <c r="P376" s="481">
        <f t="shared" si="57"/>
        <v>1.1074157141400709</v>
      </c>
      <c r="Q376" s="481">
        <f t="shared" si="58"/>
        <v>1.150574131686835</v>
      </c>
      <c r="R376" s="327"/>
      <c r="S376" s="327"/>
    </row>
    <row r="377" spans="9:19">
      <c r="I377" s="330"/>
      <c r="K377" s="12" t="s">
        <v>22</v>
      </c>
      <c r="L377" s="324" t="s">
        <v>92</v>
      </c>
      <c r="M377" s="481">
        <f t="shared" si="54"/>
        <v>1.1575477432860892</v>
      </c>
      <c r="N377" s="481">
        <f t="shared" si="55"/>
        <v>1.3425273948522578</v>
      </c>
      <c r="O377" s="481">
        <f t="shared" si="56"/>
        <v>1.4059105174017772</v>
      </c>
      <c r="P377" s="481">
        <f t="shared" si="57"/>
        <v>1.3855870508328327</v>
      </c>
      <c r="Q377" s="481">
        <f t="shared" si="58"/>
        <v>1.3108908920767421</v>
      </c>
      <c r="R377" s="327"/>
      <c r="S377" s="327"/>
    </row>
    <row r="378" spans="9:19">
      <c r="I378" s="330"/>
      <c r="K378" s="12" t="s">
        <v>22</v>
      </c>
      <c r="L378" s="324" t="s">
        <v>54</v>
      </c>
      <c r="M378" s="481">
        <f t="shared" si="54"/>
        <v>1.5684714523676531</v>
      </c>
      <c r="N378" s="481">
        <f t="shared" si="55"/>
        <v>2.06022256626725</v>
      </c>
      <c r="O378" s="481">
        <f t="shared" si="56"/>
        <v>2.1670567972287373</v>
      </c>
      <c r="P378" s="481">
        <f t="shared" si="57"/>
        <v>2.2110656355662512</v>
      </c>
      <c r="Q378" s="481">
        <f t="shared" si="58"/>
        <v>2.1239053012328939</v>
      </c>
      <c r="R378" s="327"/>
      <c r="S378" s="327"/>
    </row>
    <row r="379" spans="9:19">
      <c r="I379" s="330"/>
      <c r="K379" s="112"/>
      <c r="L379" s="112"/>
      <c r="M379" s="112"/>
    </row>
    <row r="380" spans="9:19">
      <c r="I380" s="330"/>
    </row>
    <row r="381" spans="9:19">
      <c r="I381" s="330"/>
    </row>
    <row r="382" spans="9:19">
      <c r="I382" s="330"/>
    </row>
    <row r="383" spans="9:19">
      <c r="I383" s="330"/>
    </row>
  </sheetData>
  <mergeCells count="152">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s>
  <conditionalFormatting sqref="C97:I97">
    <cfRule type="expression" dxfId="133" priority="13">
      <formula>AND(#REF!="Actuals",#REF!="Forecast")</formula>
    </cfRule>
  </conditionalFormatting>
  <conditionalFormatting sqref="H61">
    <cfRule type="expression" dxfId="132" priority="18">
      <formula>AND(#REF!="Actuals",#REF!="Forecast")</formula>
    </cfRule>
  </conditionalFormatting>
  <conditionalFormatting sqref="H62:U62">
    <cfRule type="expression" dxfId="131" priority="6">
      <formula>AND(#REF!="Actuals",#REF!="Forecast")</formula>
    </cfRule>
  </conditionalFormatting>
  <conditionalFormatting sqref="O61">
    <cfRule type="expression" dxfId="130"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zoomScaleNormal="100" workbookViewId="0"/>
  </sheetViews>
  <sheetFormatPr defaultRowHeight="13.5"/>
  <cols>
    <col min="1" max="1" width="8.3828125" customWidth="1"/>
    <col min="2" max="2" width="23.765625" customWidth="1"/>
    <col min="3" max="3" width="25.765625" customWidth="1"/>
    <col min="4" max="4" width="9.765625" customWidth="1"/>
  </cols>
  <sheetData>
    <row r="1" spans="1:13" ht="20">
      <c r="A1" s="128" t="s">
        <v>243</v>
      </c>
      <c r="B1" s="128"/>
      <c r="C1" s="128"/>
      <c r="D1" s="128"/>
      <c r="E1" s="128"/>
      <c r="F1" s="128"/>
      <c r="G1" s="128"/>
      <c r="H1" s="128"/>
      <c r="I1" s="8" t="s">
        <v>244</v>
      </c>
      <c r="J1" s="9"/>
      <c r="K1" s="9"/>
      <c r="L1" s="9"/>
      <c r="M1" s="9"/>
    </row>
    <row r="2" spans="1:13" ht="20">
      <c r="A2" s="339" t="str">
        <f>Licensee</f>
        <v>SGN - Southern</v>
      </c>
      <c r="B2" s="128"/>
      <c r="C2" s="128"/>
      <c r="D2" s="128"/>
      <c r="E2" s="128"/>
      <c r="F2" s="128"/>
      <c r="G2" s="128"/>
      <c r="H2" s="128"/>
      <c r="I2" s="9"/>
      <c r="J2" s="9"/>
      <c r="K2" s="9"/>
      <c r="L2" s="9"/>
      <c r="M2" s="9"/>
    </row>
    <row r="3" spans="1:13" ht="20">
      <c r="A3" s="128">
        <f>Reporting_Year</f>
        <v>2024</v>
      </c>
      <c r="B3" s="128"/>
      <c r="C3" s="128"/>
      <c r="D3" s="128"/>
      <c r="E3" s="128"/>
      <c r="F3" s="128"/>
      <c r="G3" s="128"/>
      <c r="H3" s="128"/>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59" t="s">
        <v>246</v>
      </c>
      <c r="C8" s="259" t="s">
        <v>247</v>
      </c>
      <c r="D8" s="1421" t="s">
        <v>248</v>
      </c>
      <c r="E8" s="1422"/>
      <c r="F8" s="1422"/>
      <c r="G8" s="1422"/>
      <c r="H8" s="1422"/>
      <c r="I8" s="4"/>
      <c r="J8" s="4"/>
      <c r="K8" s="4"/>
      <c r="L8" s="4"/>
      <c r="M8" s="4"/>
    </row>
    <row r="9" spans="1:13">
      <c r="A9" s="4"/>
      <c r="B9" s="260" t="s">
        <v>249</v>
      </c>
      <c r="C9" s="261" t="s">
        <v>250</v>
      </c>
      <c r="D9" s="1419"/>
      <c r="E9" s="1420"/>
      <c r="F9" s="1420"/>
      <c r="G9" s="1420"/>
      <c r="H9" s="1420"/>
      <c r="I9" s="4"/>
      <c r="J9" s="4"/>
      <c r="K9" s="4"/>
      <c r="L9" s="4"/>
      <c r="M9" s="4"/>
    </row>
    <row r="10" spans="1:13">
      <c r="A10" s="4"/>
      <c r="B10" s="260" t="s">
        <v>251</v>
      </c>
      <c r="C10" s="261"/>
      <c r="D10" s="1419"/>
      <c r="E10" s="1420"/>
      <c r="F10" s="1420"/>
      <c r="G10" s="1420"/>
      <c r="H10" s="1420"/>
      <c r="I10" s="4"/>
      <c r="J10" s="4"/>
      <c r="K10" s="4"/>
      <c r="L10" s="4"/>
      <c r="M10" s="4"/>
    </row>
    <row r="11" spans="1:13">
      <c r="A11" s="4"/>
      <c r="B11" s="260" t="s">
        <v>252</v>
      </c>
      <c r="C11" s="261"/>
      <c r="D11" s="1419"/>
      <c r="E11" s="1420"/>
      <c r="F11" s="1420"/>
      <c r="G11" s="1420"/>
      <c r="H11" s="1420"/>
      <c r="I11" s="4"/>
      <c r="J11" s="4"/>
      <c r="K11" s="4"/>
      <c r="L11" s="4"/>
      <c r="M11" s="4"/>
    </row>
    <row r="12" spans="1:13">
      <c r="A12" s="4"/>
      <c r="B12" s="260" t="s">
        <v>253</v>
      </c>
      <c r="C12" s="261"/>
      <c r="D12" s="1419"/>
      <c r="E12" s="1420"/>
      <c r="F12" s="1420"/>
      <c r="G12" s="1420"/>
      <c r="H12" s="1420"/>
      <c r="I12" s="4"/>
      <c r="J12" s="4"/>
      <c r="K12" s="4"/>
      <c r="L12" s="4"/>
      <c r="M12" s="4"/>
    </row>
    <row r="13" spans="1:13">
      <c r="A13" s="4"/>
      <c r="B13" s="260" t="s">
        <v>254</v>
      </c>
      <c r="C13" s="261"/>
      <c r="D13" s="1419"/>
      <c r="E13" s="1420"/>
      <c r="F13" s="1420"/>
      <c r="G13" s="1420"/>
      <c r="H13" s="1420"/>
      <c r="I13" s="4"/>
      <c r="J13" s="4"/>
      <c r="K13" s="4"/>
      <c r="L13" s="4"/>
      <c r="M13" s="4"/>
    </row>
    <row r="14" spans="1:13">
      <c r="A14" s="4"/>
      <c r="B14" s="260" t="s">
        <v>255</v>
      </c>
      <c r="C14" s="261"/>
      <c r="D14" s="1419"/>
      <c r="E14" s="1420"/>
      <c r="F14" s="1420"/>
      <c r="G14" s="1420"/>
      <c r="H14" s="1420"/>
      <c r="I14" s="4"/>
      <c r="J14" s="4"/>
      <c r="K14" s="4"/>
      <c r="L14" s="4"/>
      <c r="M14" s="4"/>
    </row>
    <row r="15" spans="1:13">
      <c r="A15" s="4"/>
      <c r="B15" s="260" t="s">
        <v>256</v>
      </c>
      <c r="C15" s="261"/>
      <c r="D15" s="1419"/>
      <c r="E15" s="1420"/>
      <c r="F15" s="1420"/>
      <c r="G15" s="1420"/>
      <c r="H15" s="1420"/>
      <c r="I15" s="4"/>
      <c r="J15" s="4"/>
      <c r="K15" s="4"/>
      <c r="L15" s="4"/>
      <c r="M15" s="4"/>
    </row>
    <row r="16" spans="1:13">
      <c r="A16" s="4"/>
      <c r="B16" s="260" t="s">
        <v>257</v>
      </c>
      <c r="C16" s="261"/>
      <c r="D16" s="1419"/>
      <c r="E16" s="1420"/>
      <c r="F16" s="1420"/>
      <c r="G16" s="1420"/>
      <c r="H16" s="1420"/>
      <c r="I16" s="4"/>
      <c r="J16" s="4"/>
      <c r="K16" s="4"/>
      <c r="L16" s="4"/>
      <c r="M16" s="4"/>
    </row>
    <row r="17" spans="1:13">
      <c r="A17" s="4"/>
      <c r="B17" s="260" t="s">
        <v>258</v>
      </c>
      <c r="C17" s="261"/>
      <c r="D17" s="1419"/>
      <c r="E17" s="1420"/>
      <c r="F17" s="1420"/>
      <c r="G17" s="1420"/>
      <c r="H17" s="1420"/>
      <c r="I17" s="4"/>
      <c r="J17" s="4"/>
      <c r="K17" s="4"/>
      <c r="L17" s="4"/>
      <c r="M17" s="4"/>
    </row>
    <row r="18" spans="1:13">
      <c r="A18" s="4"/>
      <c r="B18" s="260" t="s">
        <v>259</v>
      </c>
      <c r="C18" s="261"/>
      <c r="D18" s="1419"/>
      <c r="E18" s="1420"/>
      <c r="F18" s="1420"/>
      <c r="G18" s="1420"/>
      <c r="H18" s="1420"/>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227"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339" t="str">
        <f>Licensee</f>
        <v>SGN - Southern</v>
      </c>
      <c r="B2" s="6"/>
      <c r="C2" s="6"/>
      <c r="D2" s="6"/>
      <c r="E2" s="6"/>
    </row>
    <row r="3" spans="1:10" ht="20">
      <c r="A3" s="128">
        <f>Reporting_Year</f>
        <v>2024</v>
      </c>
      <c r="B3" s="6"/>
      <c r="C3" s="6"/>
      <c r="D3" s="6"/>
      <c r="E3" s="6"/>
    </row>
    <row r="4" spans="1:10" ht="20">
      <c r="A4" s="115"/>
      <c r="B4" s="115"/>
      <c r="C4" s="115"/>
      <c r="D4" s="115"/>
      <c r="E4" s="115"/>
    </row>
    <row r="5" spans="1:10" ht="14">
      <c r="A5" s="311" t="s">
        <v>280</v>
      </c>
      <c r="B5" s="312" t="s">
        <v>281</v>
      </c>
      <c r="C5" s="313" t="s">
        <v>282</v>
      </c>
      <c r="D5" s="283" t="s">
        <v>283</v>
      </c>
    </row>
    <row r="6" spans="1:10">
      <c r="A6" s="250" t="s">
        <v>284</v>
      </c>
      <c r="B6" s="314" t="s">
        <v>285</v>
      </c>
      <c r="C6" s="315" t="s">
        <v>286</v>
      </c>
      <c r="D6" s="310" t="s">
        <v>287</v>
      </c>
    </row>
    <row r="7" spans="1:10">
      <c r="A7" s="250" t="s">
        <v>284</v>
      </c>
      <c r="B7" s="314" t="s">
        <v>288</v>
      </c>
      <c r="C7" s="315" t="s">
        <v>289</v>
      </c>
      <c r="D7" s="310" t="s">
        <v>287</v>
      </c>
    </row>
    <row r="8" spans="1:10" ht="27">
      <c r="A8" s="250" t="s">
        <v>284</v>
      </c>
      <c r="B8" s="314" t="s">
        <v>290</v>
      </c>
      <c r="C8" s="315" t="s">
        <v>291</v>
      </c>
      <c r="D8" s="310" t="s">
        <v>287</v>
      </c>
    </row>
    <row r="9" spans="1:10" ht="34" customHeight="1">
      <c r="A9" s="250" t="s">
        <v>284</v>
      </c>
      <c r="B9" s="314" t="s">
        <v>292</v>
      </c>
      <c r="C9" s="315" t="s">
        <v>293</v>
      </c>
      <c r="D9" s="310" t="s">
        <v>287</v>
      </c>
    </row>
    <row r="10" spans="1:10" ht="27">
      <c r="A10" s="250" t="s">
        <v>284</v>
      </c>
      <c r="B10" s="314" t="s">
        <v>294</v>
      </c>
      <c r="C10" s="315" t="s">
        <v>295</v>
      </c>
      <c r="D10" s="310" t="s">
        <v>287</v>
      </c>
    </row>
    <row r="11" spans="1:10" ht="27">
      <c r="A11" s="250" t="s">
        <v>284</v>
      </c>
      <c r="B11" s="314" t="s">
        <v>261</v>
      </c>
      <c r="C11" s="315" t="s">
        <v>296</v>
      </c>
      <c r="D11" s="310" t="s">
        <v>297</v>
      </c>
      <c r="J11" s="147"/>
    </row>
    <row r="12" spans="1:10" ht="27">
      <c r="A12" s="250" t="s">
        <v>284</v>
      </c>
      <c r="B12" s="314" t="s">
        <v>298</v>
      </c>
      <c r="C12" s="315" t="s">
        <v>299</v>
      </c>
      <c r="D12" s="310" t="s">
        <v>300</v>
      </c>
    </row>
    <row r="13" spans="1:10">
      <c r="A13" s="250" t="s">
        <v>284</v>
      </c>
      <c r="B13" s="314" t="s">
        <v>301</v>
      </c>
      <c r="C13" s="315" t="s">
        <v>302</v>
      </c>
      <c r="D13" s="310" t="s">
        <v>303</v>
      </c>
    </row>
    <row r="14" spans="1:10">
      <c r="A14" s="250" t="s">
        <v>284</v>
      </c>
      <c r="B14" s="314" t="s">
        <v>304</v>
      </c>
      <c r="C14" s="315" t="s">
        <v>305</v>
      </c>
      <c r="D14" s="310" t="s">
        <v>87</v>
      </c>
    </row>
    <row r="15" spans="1:10">
      <c r="A15" s="250" t="s">
        <v>284</v>
      </c>
      <c r="B15" s="314" t="s">
        <v>306</v>
      </c>
      <c r="C15" s="315" t="s">
        <v>307</v>
      </c>
      <c r="D15" s="310" t="s">
        <v>308</v>
      </c>
    </row>
    <row r="16" spans="1:10" ht="74.25" customHeight="1">
      <c r="A16" s="250" t="s">
        <v>284</v>
      </c>
      <c r="B16" s="314" t="s">
        <v>268</v>
      </c>
      <c r="C16" s="315" t="s">
        <v>309</v>
      </c>
      <c r="D16" s="310" t="s">
        <v>92</v>
      </c>
    </row>
    <row r="17" spans="1:4" ht="20.25" customHeight="1">
      <c r="A17" s="250" t="s">
        <v>284</v>
      </c>
      <c r="B17" s="314" t="s">
        <v>306</v>
      </c>
      <c r="C17" s="315" t="s">
        <v>310</v>
      </c>
      <c r="D17" s="310" t="s">
        <v>221</v>
      </c>
    </row>
    <row r="18" spans="1:4" ht="21" customHeight="1">
      <c r="A18" s="250" t="s">
        <v>284</v>
      </c>
      <c r="B18" s="314" t="s">
        <v>306</v>
      </c>
      <c r="C18" s="315" t="s">
        <v>311</v>
      </c>
      <c r="D18" s="310" t="s">
        <v>221</v>
      </c>
    </row>
    <row r="19" spans="1:4" ht="21" customHeight="1">
      <c r="A19" s="250" t="s">
        <v>284</v>
      </c>
      <c r="B19" s="314" t="s">
        <v>312</v>
      </c>
      <c r="C19" s="315" t="s">
        <v>313</v>
      </c>
      <c r="D19" s="310" t="s">
        <v>221</v>
      </c>
    </row>
    <row r="20" spans="1:4" ht="38.5" customHeight="1">
      <c r="A20" s="250" t="s">
        <v>284</v>
      </c>
      <c r="B20" s="314" t="s">
        <v>314</v>
      </c>
      <c r="C20" s="1267" t="s">
        <v>315</v>
      </c>
      <c r="D20" s="310" t="s">
        <v>221</v>
      </c>
    </row>
    <row r="21" spans="1:4">
      <c r="A21" s="250" t="s">
        <v>284</v>
      </c>
      <c r="B21" s="314" t="s">
        <v>288</v>
      </c>
      <c r="C21" s="315" t="s">
        <v>316</v>
      </c>
      <c r="D21" s="310" t="s">
        <v>221</v>
      </c>
    </row>
    <row r="22" spans="1:4" ht="27">
      <c r="A22" s="1301" t="s">
        <v>284</v>
      </c>
      <c r="B22" s="314" t="s">
        <v>317</v>
      </c>
      <c r="C22" s="315" t="s">
        <v>318</v>
      </c>
      <c r="D22" s="316" t="s">
        <v>287</v>
      </c>
    </row>
    <row r="23" spans="1:4" ht="27">
      <c r="A23" s="1301" t="s">
        <v>284</v>
      </c>
      <c r="B23" s="314" t="s">
        <v>319</v>
      </c>
      <c r="C23" s="315" t="s">
        <v>320</v>
      </c>
      <c r="D23" s="316" t="s">
        <v>287</v>
      </c>
    </row>
    <row r="24" spans="1:4">
      <c r="A24" s="1301" t="s">
        <v>284</v>
      </c>
      <c r="B24" s="314" t="s">
        <v>321</v>
      </c>
      <c r="C24" s="315" t="s">
        <v>322</v>
      </c>
      <c r="D24" s="316" t="s">
        <v>287</v>
      </c>
    </row>
    <row r="25" spans="1:4">
      <c r="A25" s="1301" t="s">
        <v>284</v>
      </c>
      <c r="B25" s="314" t="s">
        <v>323</v>
      </c>
      <c r="C25" s="315" t="s">
        <v>324</v>
      </c>
      <c r="D25" s="316" t="s">
        <v>287</v>
      </c>
    </row>
    <row r="26" spans="1:4" ht="57.65" customHeight="1">
      <c r="A26" s="1301" t="s">
        <v>284</v>
      </c>
      <c r="B26" s="314" t="s">
        <v>325</v>
      </c>
      <c r="C26" s="315" t="s">
        <v>326</v>
      </c>
      <c r="D26" s="249" t="s">
        <v>84</v>
      </c>
    </row>
    <row r="27" spans="1:4" ht="63.65" customHeight="1">
      <c r="A27" s="1301" t="s">
        <v>284</v>
      </c>
      <c r="B27" s="314" t="s">
        <v>327</v>
      </c>
      <c r="C27" s="315" t="s">
        <v>328</v>
      </c>
      <c r="D27" s="249" t="s">
        <v>84</v>
      </c>
    </row>
    <row r="28" spans="1:4" ht="24" customHeight="1">
      <c r="A28" s="1301" t="s">
        <v>284</v>
      </c>
      <c r="B28" s="314" t="s">
        <v>329</v>
      </c>
      <c r="C28" s="315" t="s">
        <v>330</v>
      </c>
      <c r="D28" s="249" t="s">
        <v>331</v>
      </c>
    </row>
    <row r="29" spans="1:4" ht="54">
      <c r="A29" s="1301" t="s">
        <v>284</v>
      </c>
      <c r="B29" s="314" t="s">
        <v>332</v>
      </c>
      <c r="C29" s="315" t="s">
        <v>333</v>
      </c>
      <c r="D29" s="310" t="s">
        <v>334</v>
      </c>
    </row>
    <row r="30" spans="1:4">
      <c r="A30" s="1301" t="s">
        <v>284</v>
      </c>
      <c r="B30" s="314" t="s">
        <v>268</v>
      </c>
      <c r="C30" s="315" t="s">
        <v>335</v>
      </c>
      <c r="D30" s="310" t="s">
        <v>29</v>
      </c>
    </row>
    <row r="31" spans="1:4">
      <c r="A31" s="1301" t="s">
        <v>284</v>
      </c>
      <c r="B31" s="314" t="s">
        <v>336</v>
      </c>
      <c r="C31" s="315" t="s">
        <v>337</v>
      </c>
      <c r="D31" s="310" t="s">
        <v>338</v>
      </c>
    </row>
    <row r="32" spans="1:4">
      <c r="A32" s="1301" t="s">
        <v>284</v>
      </c>
      <c r="B32" s="314" t="s">
        <v>339</v>
      </c>
      <c r="C32" s="315" t="s">
        <v>340</v>
      </c>
      <c r="D32" s="310" t="s">
        <v>287</v>
      </c>
    </row>
    <row r="33" spans="1:4">
      <c r="A33" s="1301" t="s">
        <v>284</v>
      </c>
      <c r="B33" s="314" t="s">
        <v>339</v>
      </c>
      <c r="C33" s="315" t="s">
        <v>341</v>
      </c>
      <c r="D33" s="310" t="s">
        <v>287</v>
      </c>
    </row>
    <row r="34" spans="1:4">
      <c r="A34" s="1301" t="s">
        <v>284</v>
      </c>
      <c r="B34" s="314" t="s">
        <v>342</v>
      </c>
      <c r="C34" s="315" t="s">
        <v>343</v>
      </c>
      <c r="D34" s="310" t="s">
        <v>287</v>
      </c>
    </row>
    <row r="35" spans="1:4">
      <c r="A35" s="1301" t="s">
        <v>284</v>
      </c>
      <c r="B35" s="314" t="s">
        <v>344</v>
      </c>
      <c r="C35" s="315" t="s">
        <v>345</v>
      </c>
      <c r="D35" s="310" t="s">
        <v>287</v>
      </c>
    </row>
    <row r="36" spans="1:4">
      <c r="A36" s="1301" t="s">
        <v>284</v>
      </c>
      <c r="B36" s="314" t="s">
        <v>346</v>
      </c>
      <c r="C36" s="315" t="s">
        <v>347</v>
      </c>
      <c r="D36" s="310" t="s">
        <v>348</v>
      </c>
    </row>
    <row r="37" spans="1:4" ht="15" customHeight="1">
      <c r="A37" s="1301" t="s">
        <v>284</v>
      </c>
      <c r="B37" s="314" t="s">
        <v>346</v>
      </c>
      <c r="C37" s="315" t="s">
        <v>349</v>
      </c>
      <c r="D37" s="310" t="s">
        <v>348</v>
      </c>
    </row>
    <row r="38" spans="1:4" ht="17.5" customHeight="1">
      <c r="A38" s="1301" t="s">
        <v>284</v>
      </c>
      <c r="B38" s="314" t="s">
        <v>346</v>
      </c>
      <c r="C38" s="315" t="s">
        <v>350</v>
      </c>
      <c r="D38" s="310" t="s">
        <v>221</v>
      </c>
    </row>
    <row r="39" spans="1:4" ht="26.15" customHeight="1">
      <c r="A39" s="1301" t="s">
        <v>284</v>
      </c>
      <c r="B39" s="314" t="s">
        <v>346</v>
      </c>
      <c r="C39" s="315" t="s">
        <v>351</v>
      </c>
      <c r="D39" s="310" t="s">
        <v>348</v>
      </c>
    </row>
    <row r="40" spans="1:4" ht="27">
      <c r="A40" s="1301" t="s">
        <v>284</v>
      </c>
      <c r="B40" s="314" t="s">
        <v>342</v>
      </c>
      <c r="C40" s="315" t="s">
        <v>352</v>
      </c>
      <c r="D40" s="310" t="s">
        <v>221</v>
      </c>
    </row>
    <row r="41" spans="1:4" ht="27">
      <c r="A41" s="1301" t="s">
        <v>284</v>
      </c>
      <c r="B41" s="314" t="s">
        <v>353</v>
      </c>
      <c r="C41" s="315" t="s">
        <v>354</v>
      </c>
      <c r="D41" s="310" t="s">
        <v>287</v>
      </c>
    </row>
    <row r="42" spans="1:4">
      <c r="A42" s="1301" t="s">
        <v>284</v>
      </c>
      <c r="B42" s="314" t="s">
        <v>355</v>
      </c>
      <c r="C42" s="315" t="s">
        <v>356</v>
      </c>
      <c r="D42" s="310" t="s">
        <v>357</v>
      </c>
    </row>
    <row r="43" spans="1:4">
      <c r="A43" s="1301" t="s">
        <v>284</v>
      </c>
      <c r="B43" s="314" t="s">
        <v>358</v>
      </c>
      <c r="C43" s="315" t="s">
        <v>359</v>
      </c>
      <c r="D43" s="310" t="s">
        <v>287</v>
      </c>
    </row>
    <row r="44" spans="1:4">
      <c r="A44" s="1301"/>
      <c r="B44" s="170" t="s">
        <v>360</v>
      </c>
      <c r="C44" s="315" t="s">
        <v>361</v>
      </c>
      <c r="D44" s="310" t="s">
        <v>287</v>
      </c>
    </row>
    <row r="45" spans="1:4">
      <c r="A45" s="1301"/>
      <c r="B45" s="170" t="s">
        <v>362</v>
      </c>
      <c r="C45" s="315" t="s">
        <v>363</v>
      </c>
      <c r="D45" s="310" t="s">
        <v>287</v>
      </c>
    </row>
    <row r="46" spans="1:4">
      <c r="A46" s="1301" t="s">
        <v>284</v>
      </c>
      <c r="B46" s="314" t="s">
        <v>364</v>
      </c>
      <c r="C46" s="315" t="s">
        <v>365</v>
      </c>
      <c r="D46" s="310" t="s">
        <v>287</v>
      </c>
    </row>
    <row r="47" spans="1:4">
      <c r="A47" s="1301" t="s">
        <v>284</v>
      </c>
      <c r="B47" s="314" t="s">
        <v>366</v>
      </c>
      <c r="C47" s="315" t="s">
        <v>367</v>
      </c>
      <c r="D47" s="310" t="s">
        <v>287</v>
      </c>
    </row>
    <row r="48" spans="1:4">
      <c r="A48" s="1301" t="s">
        <v>284</v>
      </c>
      <c r="B48" s="314" t="s">
        <v>366</v>
      </c>
      <c r="C48" s="315" t="s">
        <v>368</v>
      </c>
      <c r="D48" s="310" t="s">
        <v>287</v>
      </c>
    </row>
    <row r="49" spans="1:4">
      <c r="A49" s="1301" t="s">
        <v>284</v>
      </c>
      <c r="B49" s="314" t="s">
        <v>366</v>
      </c>
      <c r="C49" s="315" t="s">
        <v>369</v>
      </c>
      <c r="D49" s="310" t="s">
        <v>370</v>
      </c>
    </row>
    <row r="50" spans="1:4">
      <c r="A50" s="1301" t="s">
        <v>284</v>
      </c>
      <c r="B50" s="314" t="s">
        <v>366</v>
      </c>
      <c r="C50" s="315" t="s">
        <v>371</v>
      </c>
      <c r="D50" s="310" t="s">
        <v>372</v>
      </c>
    </row>
    <row r="51" spans="1:4">
      <c r="A51" s="1301" t="s">
        <v>284</v>
      </c>
      <c r="B51" s="314" t="s">
        <v>373</v>
      </c>
      <c r="C51" s="315" t="s">
        <v>374</v>
      </c>
      <c r="D51" s="310" t="s">
        <v>375</v>
      </c>
    </row>
    <row r="52" spans="1:4">
      <c r="A52" s="1301" t="s">
        <v>284</v>
      </c>
      <c r="B52" s="314" t="s">
        <v>306</v>
      </c>
      <c r="C52" s="315" t="s">
        <v>376</v>
      </c>
      <c r="D52" s="310" t="s">
        <v>377</v>
      </c>
    </row>
    <row r="53" spans="1:4">
      <c r="A53" s="1301" t="s">
        <v>284</v>
      </c>
      <c r="B53" s="314" t="s">
        <v>378</v>
      </c>
      <c r="C53" s="315" t="s">
        <v>379</v>
      </c>
      <c r="D53" s="310" t="s">
        <v>377</v>
      </c>
    </row>
    <row r="54" spans="1:4">
      <c r="A54" s="1301" t="s">
        <v>284</v>
      </c>
      <c r="B54" s="314" t="s">
        <v>380</v>
      </c>
      <c r="C54" s="315" t="s">
        <v>381</v>
      </c>
      <c r="D54" s="249" t="s">
        <v>287</v>
      </c>
    </row>
    <row r="55" spans="1:4" ht="54">
      <c r="A55" s="1301" t="s">
        <v>382</v>
      </c>
      <c r="B55" s="314" t="s">
        <v>383</v>
      </c>
      <c r="C55" s="315" t="s">
        <v>384</v>
      </c>
      <c r="D55" s="316" t="s">
        <v>287</v>
      </c>
    </row>
    <row r="56" spans="1:4" ht="67.5">
      <c r="A56" s="1301" t="s">
        <v>382</v>
      </c>
      <c r="B56" s="314" t="s">
        <v>385</v>
      </c>
      <c r="C56" s="315" t="s">
        <v>386</v>
      </c>
      <c r="D56" s="316" t="s">
        <v>287</v>
      </c>
    </row>
    <row r="57" spans="1:4">
      <c r="A57" s="1301" t="s">
        <v>382</v>
      </c>
      <c r="B57" s="314" t="s">
        <v>387</v>
      </c>
      <c r="C57" s="315" t="s">
        <v>388</v>
      </c>
      <c r="D57" s="316" t="s">
        <v>287</v>
      </c>
    </row>
    <row r="58" spans="1:4">
      <c r="A58" s="1301" t="s">
        <v>382</v>
      </c>
      <c r="B58" s="314" t="s">
        <v>373</v>
      </c>
      <c r="C58" s="315" t="s">
        <v>389</v>
      </c>
      <c r="D58" s="316" t="s">
        <v>287</v>
      </c>
    </row>
    <row r="59" spans="1:4">
      <c r="A59" s="1301" t="s">
        <v>382</v>
      </c>
      <c r="B59" s="314" t="s">
        <v>390</v>
      </c>
      <c r="C59" s="315" t="s">
        <v>391</v>
      </c>
      <c r="D59" s="316" t="s">
        <v>392</v>
      </c>
    </row>
    <row r="60" spans="1:4" ht="27">
      <c r="A60" s="1301" t="s">
        <v>382</v>
      </c>
      <c r="B60" s="314" t="s">
        <v>342</v>
      </c>
      <c r="C60" s="315" t="s">
        <v>393</v>
      </c>
      <c r="D60" s="316" t="s">
        <v>392</v>
      </c>
    </row>
    <row r="61" spans="1:4">
      <c r="A61" s="1301" t="s">
        <v>382</v>
      </c>
      <c r="B61" s="314" t="s">
        <v>394</v>
      </c>
      <c r="C61" s="315" t="s">
        <v>395</v>
      </c>
      <c r="D61" s="316" t="s">
        <v>396</v>
      </c>
    </row>
    <row r="62" spans="1:4">
      <c r="A62" s="1301" t="s">
        <v>382</v>
      </c>
      <c r="B62" s="314" t="s">
        <v>383</v>
      </c>
      <c r="C62" s="315" t="s">
        <v>397</v>
      </c>
      <c r="D62" s="316" t="s">
        <v>221</v>
      </c>
    </row>
    <row r="63" spans="1:4">
      <c r="A63" s="1301" t="s">
        <v>382</v>
      </c>
      <c r="B63" s="314" t="s">
        <v>398</v>
      </c>
      <c r="C63" s="315" t="s">
        <v>399</v>
      </c>
      <c r="D63" s="316" t="s">
        <v>287</v>
      </c>
    </row>
    <row r="64" spans="1:4">
      <c r="A64" s="1301" t="s">
        <v>382</v>
      </c>
      <c r="B64" s="314" t="s">
        <v>277</v>
      </c>
      <c r="C64" s="315" t="s">
        <v>400</v>
      </c>
      <c r="D64" s="316" t="s">
        <v>287</v>
      </c>
    </row>
    <row r="65" spans="1:4">
      <c r="A65" s="1301" t="s">
        <v>382</v>
      </c>
      <c r="B65" s="314" t="s">
        <v>277</v>
      </c>
      <c r="C65" s="315" t="s">
        <v>401</v>
      </c>
      <c r="D65" s="316" t="s">
        <v>287</v>
      </c>
    </row>
    <row r="66" spans="1:4">
      <c r="A66" s="1301" t="s">
        <v>382</v>
      </c>
      <c r="B66" s="314" t="s">
        <v>278</v>
      </c>
      <c r="C66" s="315" t="s">
        <v>402</v>
      </c>
      <c r="D66" s="316" t="s">
        <v>287</v>
      </c>
    </row>
    <row r="67" spans="1:4">
      <c r="A67" s="1301" t="s">
        <v>382</v>
      </c>
      <c r="B67" s="314" t="s">
        <v>339</v>
      </c>
      <c r="C67" s="315" t="s">
        <v>403</v>
      </c>
      <c r="D67" s="316" t="s">
        <v>287</v>
      </c>
    </row>
    <row r="68" spans="1:4">
      <c r="A68" s="1301" t="s">
        <v>404</v>
      </c>
      <c r="B68" s="314" t="s">
        <v>405</v>
      </c>
      <c r="C68" s="315" t="s">
        <v>406</v>
      </c>
      <c r="D68" s="316" t="s">
        <v>287</v>
      </c>
    </row>
    <row r="69" spans="1:4">
      <c r="A69" s="1301" t="s">
        <v>404</v>
      </c>
      <c r="B69" s="314" t="s">
        <v>407</v>
      </c>
      <c r="C69" s="315" t="s">
        <v>408</v>
      </c>
      <c r="D69" s="316" t="s">
        <v>287</v>
      </c>
    </row>
    <row r="70" spans="1:4">
      <c r="A70" s="1301" t="s">
        <v>404</v>
      </c>
      <c r="B70" s="1250" t="s">
        <v>407</v>
      </c>
      <c r="C70" s="315" t="s">
        <v>409</v>
      </c>
      <c r="D70" s="316" t="s">
        <v>287</v>
      </c>
    </row>
    <row r="71" spans="1:4">
      <c r="A71" s="1301" t="s">
        <v>404</v>
      </c>
      <c r="B71" s="1250" t="s">
        <v>407</v>
      </c>
      <c r="C71" s="315" t="s">
        <v>410</v>
      </c>
      <c r="D71" s="316" t="s">
        <v>287</v>
      </c>
    </row>
    <row r="72" spans="1:4">
      <c r="A72" s="1301" t="s">
        <v>404</v>
      </c>
      <c r="B72" s="1250" t="s">
        <v>407</v>
      </c>
      <c r="C72" s="315" t="s">
        <v>411</v>
      </c>
      <c r="D72" s="316" t="s">
        <v>287</v>
      </c>
    </row>
    <row r="73" spans="1:4" ht="27">
      <c r="A73" s="1301" t="s">
        <v>404</v>
      </c>
      <c r="B73" s="1250" t="s">
        <v>412</v>
      </c>
      <c r="C73" s="315" t="s">
        <v>413</v>
      </c>
      <c r="D73" s="316" t="s">
        <v>287</v>
      </c>
    </row>
    <row r="74" spans="1:4" ht="27">
      <c r="A74" s="1301" t="s">
        <v>414</v>
      </c>
      <c r="B74" s="1250" t="s">
        <v>415</v>
      </c>
      <c r="C74" s="315" t="s">
        <v>416</v>
      </c>
      <c r="D74" s="316" t="s">
        <v>417</v>
      </c>
    </row>
    <row r="75" spans="1:4" ht="27">
      <c r="A75" s="1301" t="s">
        <v>414</v>
      </c>
      <c r="B75" s="1250" t="s">
        <v>418</v>
      </c>
      <c r="C75" s="315" t="s">
        <v>419</v>
      </c>
      <c r="D75" s="316" t="s">
        <v>417</v>
      </c>
    </row>
    <row r="76" spans="1:4">
      <c r="A76" s="1301" t="s">
        <v>414</v>
      </c>
      <c r="B76" s="1250" t="s">
        <v>420</v>
      </c>
      <c r="C76" s="315" t="s">
        <v>421</v>
      </c>
      <c r="D76" s="316" t="s">
        <v>422</v>
      </c>
    </row>
    <row r="77" spans="1:4" ht="27">
      <c r="A77" s="1301" t="s">
        <v>414</v>
      </c>
      <c r="B77" s="1260" t="s">
        <v>423</v>
      </c>
      <c r="C77" s="1268" t="s">
        <v>424</v>
      </c>
      <c r="D77" s="1261" t="s">
        <v>422</v>
      </c>
    </row>
    <row r="78" spans="1:4" ht="54">
      <c r="A78" s="1301" t="s">
        <v>414</v>
      </c>
      <c r="B78" s="314" t="s">
        <v>425</v>
      </c>
      <c r="C78" s="315" t="s">
        <v>426</v>
      </c>
      <c r="D78" s="249" t="s">
        <v>287</v>
      </c>
    </row>
    <row r="79" spans="1:4">
      <c r="A79" s="1301" t="s">
        <v>414</v>
      </c>
      <c r="B79" s="314" t="s">
        <v>427</v>
      </c>
      <c r="C79" s="315" t="s">
        <v>428</v>
      </c>
      <c r="D79" s="249" t="s">
        <v>287</v>
      </c>
    </row>
    <row r="80" spans="1:4">
      <c r="A80" s="1301" t="s">
        <v>414</v>
      </c>
      <c r="B80" s="314" t="s">
        <v>332</v>
      </c>
      <c r="C80" s="315" t="s">
        <v>429</v>
      </c>
      <c r="D80" s="249" t="s">
        <v>287</v>
      </c>
    </row>
    <row r="81" spans="1:4">
      <c r="A81" s="1301" t="s">
        <v>414</v>
      </c>
      <c r="B81" s="314" t="s">
        <v>332</v>
      </c>
      <c r="C81" s="315" t="s">
        <v>430</v>
      </c>
      <c r="D81" s="249" t="s">
        <v>287</v>
      </c>
    </row>
    <row r="82" spans="1:4">
      <c r="A82" s="1301" t="s">
        <v>414</v>
      </c>
      <c r="B82" s="314" t="s">
        <v>431</v>
      </c>
      <c r="C82" s="315" t="s">
        <v>432</v>
      </c>
      <c r="D82" s="249" t="s">
        <v>287</v>
      </c>
    </row>
    <row r="83" spans="1:4" ht="27">
      <c r="A83" s="1301" t="s">
        <v>414</v>
      </c>
      <c r="B83" s="314" t="s">
        <v>433</v>
      </c>
      <c r="C83" s="315" t="s">
        <v>434</v>
      </c>
      <c r="D83" s="249" t="s">
        <v>287</v>
      </c>
    </row>
    <row r="84" spans="1:4">
      <c r="A84" s="1310" t="s">
        <v>414</v>
      </c>
      <c r="B84" s="1265" t="s">
        <v>435</v>
      </c>
      <c r="C84" s="1268" t="s">
        <v>436</v>
      </c>
      <c r="D84" s="249" t="s">
        <v>287</v>
      </c>
    </row>
    <row r="85" spans="1:4">
      <c r="A85" s="1301" t="s">
        <v>414</v>
      </c>
      <c r="B85" s="314" t="s">
        <v>278</v>
      </c>
      <c r="C85" s="1269" t="s">
        <v>437</v>
      </c>
      <c r="D85" s="249" t="s">
        <v>287</v>
      </c>
    </row>
    <row r="86" spans="1:4">
      <c r="A86" s="1302" t="s">
        <v>438</v>
      </c>
      <c r="B86" s="1265" t="s">
        <v>306</v>
      </c>
      <c r="C86" s="1270" t="s">
        <v>439</v>
      </c>
      <c r="D86" s="249" t="s">
        <v>287</v>
      </c>
    </row>
    <row r="87" spans="1:4">
      <c r="A87" s="1302" t="s">
        <v>438</v>
      </c>
      <c r="B87" s="1285" t="s">
        <v>440</v>
      </c>
      <c r="C87" s="1271" t="s">
        <v>441</v>
      </c>
      <c r="D87" s="145" t="s">
        <v>442</v>
      </c>
    </row>
    <row r="88" spans="1:4">
      <c r="A88" s="1302" t="s">
        <v>438</v>
      </c>
      <c r="B88" s="314" t="s">
        <v>443</v>
      </c>
      <c r="C88" s="1283" t="s">
        <v>444</v>
      </c>
      <c r="D88" s="1284" t="s">
        <v>287</v>
      </c>
    </row>
    <row r="89" spans="1:4">
      <c r="A89" s="1302" t="s">
        <v>438</v>
      </c>
      <c r="B89" s="314" t="s">
        <v>445</v>
      </c>
      <c r="C89" s="1269" t="s">
        <v>446</v>
      </c>
      <c r="D89" s="249" t="s">
        <v>447</v>
      </c>
    </row>
    <row r="90" spans="1:4" ht="40.5">
      <c r="A90" s="1302" t="s">
        <v>438</v>
      </c>
      <c r="B90" s="1276" t="s">
        <v>448</v>
      </c>
      <c r="C90" s="1286" t="s">
        <v>449</v>
      </c>
      <c r="D90" s="224" t="s">
        <v>447</v>
      </c>
    </row>
    <row r="91" spans="1:4" ht="27">
      <c r="A91" s="1302" t="s">
        <v>438</v>
      </c>
      <c r="B91" s="1296" t="s">
        <v>450</v>
      </c>
      <c r="C91" s="1303" t="s">
        <v>451</v>
      </c>
      <c r="D91" s="1298" t="s">
        <v>452</v>
      </c>
    </row>
    <row r="92" spans="1:4">
      <c r="A92" s="1302" t="s">
        <v>438</v>
      </c>
      <c r="B92" s="1296" t="s">
        <v>453</v>
      </c>
      <c r="C92" s="145" t="s">
        <v>454</v>
      </c>
      <c r="D92" s="145" t="s">
        <v>455</v>
      </c>
    </row>
    <row r="93" spans="1:4" ht="27">
      <c r="A93" s="1302" t="s">
        <v>438</v>
      </c>
      <c r="B93" s="1296" t="s">
        <v>456</v>
      </c>
      <c r="C93" s="1297" t="s">
        <v>457</v>
      </c>
      <c r="D93" s="145" t="s">
        <v>455</v>
      </c>
    </row>
    <row r="94" spans="1:4" ht="27">
      <c r="A94" s="1302" t="s">
        <v>438</v>
      </c>
      <c r="B94" s="1296" t="s">
        <v>458</v>
      </c>
      <c r="C94" s="1297" t="s">
        <v>459</v>
      </c>
      <c r="D94" s="145" t="s">
        <v>460</v>
      </c>
    </row>
    <row r="95" spans="1:4">
      <c r="A95" s="1302" t="s">
        <v>438</v>
      </c>
      <c r="B95" s="1296" t="s">
        <v>461</v>
      </c>
      <c r="C95" s="1297" t="s">
        <v>462</v>
      </c>
      <c r="D95" s="145" t="s">
        <v>460</v>
      </c>
    </row>
    <row r="96" spans="1:4">
      <c r="A96" s="1302" t="s">
        <v>438</v>
      </c>
      <c r="B96" s="1296" t="s">
        <v>323</v>
      </c>
      <c r="C96" s="1297" t="s">
        <v>463</v>
      </c>
      <c r="D96" s="145" t="s">
        <v>464</v>
      </c>
    </row>
    <row r="97" spans="1:4" ht="126" customHeight="1">
      <c r="A97" s="1302" t="s">
        <v>438</v>
      </c>
      <c r="B97" s="1296" t="s">
        <v>260</v>
      </c>
      <c r="C97" s="1297" t="s">
        <v>465</v>
      </c>
      <c r="D97" s="1299" t="s">
        <v>466</v>
      </c>
    </row>
    <row r="98" spans="1:4" ht="46.5" customHeight="1">
      <c r="A98" s="1302" t="s">
        <v>438</v>
      </c>
      <c r="B98" s="1296" t="s">
        <v>467</v>
      </c>
      <c r="C98" s="1300" t="s">
        <v>468</v>
      </c>
      <c r="D98" s="1299" t="s">
        <v>464</v>
      </c>
    </row>
    <row r="99" spans="1:4">
      <c r="A99" s="1302" t="s">
        <v>438</v>
      </c>
      <c r="B99" s="1296" t="s">
        <v>339</v>
      </c>
      <c r="C99" s="1300" t="s">
        <v>469</v>
      </c>
      <c r="D99" s="1299" t="s">
        <v>470</v>
      </c>
    </row>
    <row r="100" spans="1:4">
      <c r="A100" s="1302" t="s">
        <v>438</v>
      </c>
      <c r="B100" s="1296" t="s">
        <v>471</v>
      </c>
      <c r="C100" s="1300" t="s">
        <v>472</v>
      </c>
      <c r="D100" s="1299" t="s">
        <v>287</v>
      </c>
    </row>
    <row r="101" spans="1:4">
      <c r="A101" s="1302" t="s">
        <v>438</v>
      </c>
      <c r="B101" s="1296" t="s">
        <v>323</v>
      </c>
      <c r="C101" s="1300" t="s">
        <v>473</v>
      </c>
      <c r="D101" s="1299" t="s">
        <v>287</v>
      </c>
    </row>
    <row r="102" spans="1:4">
      <c r="A102" s="1302" t="s">
        <v>438</v>
      </c>
      <c r="B102" s="1296" t="s">
        <v>323</v>
      </c>
      <c r="C102" s="1300" t="s">
        <v>474</v>
      </c>
      <c r="D102" s="1299" t="s">
        <v>475</v>
      </c>
    </row>
    <row r="103" spans="1:4">
      <c r="A103" s="1302" t="s">
        <v>438</v>
      </c>
      <c r="B103" s="1296" t="s">
        <v>277</v>
      </c>
      <c r="C103" s="1300" t="s">
        <v>476</v>
      </c>
      <c r="D103" s="1299" t="s">
        <v>287</v>
      </c>
    </row>
    <row r="104" spans="1:4" ht="27">
      <c r="A104" s="1302" t="s">
        <v>438</v>
      </c>
      <c r="B104" s="1296" t="s">
        <v>1135</v>
      </c>
      <c r="C104" s="1300" t="s">
        <v>1136</v>
      </c>
      <c r="D104" s="1299" t="s">
        <v>287</v>
      </c>
    </row>
    <row r="105" spans="1:4" ht="27">
      <c r="A105" s="1302" t="s">
        <v>438</v>
      </c>
      <c r="B105" s="1296" t="s">
        <v>265</v>
      </c>
      <c r="C105" s="1300" t="s">
        <v>477</v>
      </c>
      <c r="D105" s="1299" t="s">
        <v>287</v>
      </c>
    </row>
    <row r="106" spans="1:4">
      <c r="A106" s="1302" t="s">
        <v>438</v>
      </c>
      <c r="B106" s="1296" t="s">
        <v>478</v>
      </c>
      <c r="C106" s="1300" t="s">
        <v>479</v>
      </c>
      <c r="D106" s="1299" t="s">
        <v>204</v>
      </c>
    </row>
    <row r="107" spans="1:4">
      <c r="C107" s="37"/>
    </row>
    <row r="108" spans="1:4">
      <c r="C108" s="37"/>
    </row>
    <row r="109" spans="1:4">
      <c r="C109" s="37"/>
    </row>
    <row r="110" spans="1:4">
      <c r="C110" s="37"/>
    </row>
    <row r="111" spans="1:4">
      <c r="C111" s="37"/>
    </row>
    <row r="112" spans="1:4">
      <c r="C112" s="37"/>
    </row>
    <row r="113" spans="3:3">
      <c r="C113" s="37"/>
    </row>
  </sheetData>
  <phoneticPr fontId="261"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79" t="s">
        <v>480</v>
      </c>
      <c r="B1" s="386"/>
      <c r="C1" s="387"/>
      <c r="D1" s="387"/>
      <c r="E1" s="387"/>
      <c r="F1" s="387"/>
      <c r="G1" s="388"/>
      <c r="H1" s="388"/>
      <c r="I1" s="389"/>
      <c r="J1" s="389"/>
      <c r="K1" s="389"/>
      <c r="L1" s="390" t="s">
        <v>244</v>
      </c>
    </row>
    <row r="2" spans="1:20" ht="20">
      <c r="A2" s="339" t="str">
        <f>Licensee</f>
        <v>SGN - Southern</v>
      </c>
      <c r="B2" s="391"/>
      <c r="C2" s="128"/>
      <c r="D2" s="128"/>
      <c r="E2" s="128"/>
      <c r="F2" s="128"/>
      <c r="G2" s="6"/>
      <c r="H2" s="6"/>
      <c r="I2" s="392"/>
      <c r="J2" s="392"/>
      <c r="K2" s="392"/>
      <c r="L2" s="393"/>
    </row>
    <row r="3" spans="1:20" ht="20">
      <c r="A3" s="128">
        <f>Reporting_Year</f>
        <v>2024</v>
      </c>
      <c r="B3" s="6" t="str">
        <f>IF(Licensee=Data!$B$86,"Only required to be completed to show Operational Performance",IF(Licensee=Data!$B$89,"not required to be completed",""))</f>
        <v/>
      </c>
      <c r="C3" s="6"/>
      <c r="D3" s="6"/>
      <c r="E3" s="6"/>
      <c r="F3" s="6"/>
      <c r="G3" s="6"/>
      <c r="H3" s="394"/>
      <c r="I3" s="395"/>
      <c r="J3" s="395"/>
      <c r="K3" s="395"/>
      <c r="L3" s="396"/>
    </row>
    <row r="4" spans="1:20" ht="12.75" customHeight="1"/>
    <row r="5" spans="1:20">
      <c r="D5" s="397" t="str">
        <f t="shared" ref="D5:H5" si="0">IF(D6&lt;=Reporting_Year,"Actuals","Forecast")</f>
        <v>Actuals</v>
      </c>
      <c r="E5" s="397" t="str">
        <f t="shared" si="0"/>
        <v>Actuals</v>
      </c>
      <c r="F5" s="397" t="str">
        <f t="shared" si="0"/>
        <v>Actuals</v>
      </c>
      <c r="G5" s="397" t="str">
        <f t="shared" si="0"/>
        <v>Forecast</v>
      </c>
      <c r="H5" s="397" t="str">
        <f t="shared" si="0"/>
        <v>Forecast</v>
      </c>
      <c r="I5" s="398"/>
      <c r="J5" s="398"/>
    </row>
    <row r="6" spans="1:20" ht="31.5" customHeight="1">
      <c r="C6" s="399"/>
      <c r="D6" s="400">
        <f>RIIO_2_start_date</f>
        <v>2022</v>
      </c>
      <c r="E6" s="400">
        <f>D6+1</f>
        <v>2023</v>
      </c>
      <c r="F6" s="400">
        <f>E6+1</f>
        <v>2024</v>
      </c>
      <c r="G6" s="400">
        <f t="shared" ref="G6:H6" si="1">F6+1</f>
        <v>2025</v>
      </c>
      <c r="H6" s="400">
        <f t="shared" si="1"/>
        <v>2026</v>
      </c>
      <c r="I6" s="10"/>
      <c r="J6" s="401" t="str">
        <f>"Cumulative to "&amp;'RFPR cover'!$C$9</f>
        <v>Cumulative to 2024</v>
      </c>
      <c r="K6" s="402" t="s">
        <v>481</v>
      </c>
    </row>
    <row r="7" spans="1:20">
      <c r="C7" s="399"/>
      <c r="D7" s="403" t="str">
        <f>RIIO_2_start_date-1&amp;"/"&amp;RIGHT(RIIO_2_start_date,2)</f>
        <v>2021/22</v>
      </c>
      <c r="E7" s="403" t="str">
        <f>RIIO_2_start_date&amp;"/"&amp;RIGHT(RIIO_2_start_date+1,2)</f>
        <v>2022/23</v>
      </c>
      <c r="F7" s="403" t="str">
        <f>RIIO_2_start_date+1&amp;"/"&amp;RIGHT(RIIO_2_start_date+2,2)</f>
        <v>2023/24</v>
      </c>
      <c r="G7" s="403" t="str">
        <f>RIIO_2_start_date+2&amp;"/"&amp;RIGHT(RIIO_2_start_date+3,2)</f>
        <v>2024/25</v>
      </c>
      <c r="H7" s="403" t="str">
        <f>RIIO_2_start_date+3&amp;"/"&amp;RIGHT(RIIO_2_start_date+4,2)</f>
        <v>2025/26</v>
      </c>
      <c r="I7" s="399"/>
      <c r="J7" s="399"/>
      <c r="K7" s="399"/>
      <c r="L7" s="399"/>
    </row>
    <row r="8" spans="1:20">
      <c r="C8" s="34"/>
      <c r="D8" s="34"/>
      <c r="E8" s="34"/>
      <c r="F8" s="34"/>
      <c r="G8" s="34"/>
      <c r="H8" s="34"/>
      <c r="I8" s="34"/>
      <c r="J8" s="34"/>
      <c r="K8" s="34"/>
      <c r="L8" s="34"/>
      <c r="M8" s="34"/>
      <c r="N8" s="34"/>
      <c r="O8" s="34"/>
      <c r="P8" s="34"/>
      <c r="Q8" s="34"/>
      <c r="R8" s="34"/>
      <c r="S8" s="34"/>
      <c r="T8" s="34"/>
    </row>
    <row r="9" spans="1:20">
      <c r="B9" s="404" t="s">
        <v>482</v>
      </c>
      <c r="C9" s="38"/>
      <c r="D9" s="38"/>
      <c r="E9" s="38"/>
      <c r="F9" s="38"/>
      <c r="G9" s="38"/>
      <c r="H9" s="38"/>
      <c r="I9" s="405"/>
      <c r="J9" s="38"/>
      <c r="K9" s="38"/>
      <c r="L9" s="38"/>
    </row>
    <row r="10" spans="1:20">
      <c r="B10" s="406"/>
      <c r="I10" s="10"/>
    </row>
    <row r="11" spans="1:20">
      <c r="B11" s="200" t="s">
        <v>483</v>
      </c>
      <c r="C11" s="199" t="s">
        <v>484</v>
      </c>
      <c r="D11" s="77">
        <f>IFERROR(Equity_Return_on_the_RAV/NPV_neutral_equity_element_of_RAV,0)</f>
        <v>4.5181881000000007E-2</v>
      </c>
      <c r="E11" s="77">
        <f>IFERROR(Equity_Return_on_the_RAV/NPV_neutral_equity_element_of_RAV,0)</f>
        <v>4.5568105000000005E-2</v>
      </c>
      <c r="F11" s="77">
        <f>IFERROR(Equity_Return_on_the_RAV/NPV_neutral_equity_element_of_RAV,0)</f>
        <v>5.2833943999999994E-2</v>
      </c>
      <c r="G11" s="77">
        <f>IFERROR(Equity_Return_on_the_RAV/NPV_neutral_equity_element_of_RAV,0)</f>
        <v>5.5875458000000003E-2</v>
      </c>
      <c r="H11" s="77">
        <f>IFERROR(Equity_Return_on_the_RAV/NPV_neutral_equity_element_of_RAV,0)</f>
        <v>5.5175426999999992E-2</v>
      </c>
      <c r="I11" s="407"/>
      <c r="J11" s="78">
        <f>IFERROR(AVERAGE(D65:INDEX(D65:H65,0,MATCH('RFPR cover'!$C$9,$D$6:$H$6,0)))/AVERAGE($D$90:INDEX($D$90:$H$90,0,MATCH('RFPR cover'!$C$9,$D$6:$H$6,0))),0)</f>
        <v>4.7866791235735437E-2</v>
      </c>
      <c r="K11" s="78">
        <f t="shared" ref="K11:K21" si="2">IFERROR(AVERAGE(D65:H65)/AVERAGE($D$90:$H$90),0)</f>
        <v>5.0958727941151007E-2</v>
      </c>
    </row>
    <row r="12" spans="1:20">
      <c r="B12" s="200" t="str">
        <f t="shared" ref="B12:B18" si="3">B66</f>
        <v>Totex outperformance</v>
      </c>
      <c r="C12" s="199" t="s">
        <v>484</v>
      </c>
      <c r="D12" s="77">
        <f>IFERROR(Totex_outperformance/NPV_neutral_equity_element_of_RAV,0)</f>
        <v>5.7674074841692199E-3</v>
      </c>
      <c r="E12" s="77">
        <f>IFERROR(Totex_outperformance/NPV_neutral_equity_element_of_RAV,0)</f>
        <v>-5.4883864867357954E-3</v>
      </c>
      <c r="F12" s="77">
        <f>IFERROR(Totex_outperformance/NPV_neutral_equity_element_of_RAV,0)</f>
        <v>-1.5720045030612445E-2</v>
      </c>
      <c r="G12" s="77">
        <f>IFERROR(Totex_outperformance/NPV_neutral_equity_element_of_RAV,0)</f>
        <v>-3.0702509170137858E-2</v>
      </c>
      <c r="H12" s="77">
        <f>IFERROR(Totex_outperformance/NPV_neutral_equity_element_of_RAV,0)</f>
        <v>-1.64164840131929E-2</v>
      </c>
      <c r="I12" s="407"/>
      <c r="J12" s="78">
        <f>IFERROR(AVERAGE(D66:INDEX(D66:H66,0,MATCH('RFPR cover'!$C$9,$D$6:$H$6,0)))/AVERAGE($D$90:INDEX($D$90:$H$90,0,MATCH('RFPR cover'!$C$9,$D$6:$H$6,0))),0)</f>
        <v>-5.1633771560861148E-3</v>
      </c>
      <c r="K12" s="78">
        <f t="shared" si="2"/>
        <v>-1.257517628283064E-2</v>
      </c>
      <c r="M12" s="407"/>
    </row>
    <row r="13" spans="1:20">
      <c r="A13" s="408" t="s">
        <v>485</v>
      </c>
      <c r="B13" s="200" t="str">
        <f t="shared" si="3"/>
        <v>Business Plan Incentive</v>
      </c>
      <c r="C13" s="199" t="s">
        <v>484</v>
      </c>
      <c r="D13" s="77">
        <f>IFERROR(Business_Plan_Incentive/NPV_neutral_equity_element_of_RAV,0)</f>
        <v>0</v>
      </c>
      <c r="E13" s="77">
        <f>IFERROR(Business_Plan_Incentive/NPV_neutral_equity_element_of_RAV,0)</f>
        <v>0</v>
      </c>
      <c r="F13" s="77">
        <f>IFERROR(Business_Plan_Incentive/NPV_neutral_equity_element_of_RAV,0)</f>
        <v>0</v>
      </c>
      <c r="G13" s="77">
        <f>IFERROR(Business_Plan_Incentive/NPV_neutral_equity_element_of_RAV,0)</f>
        <v>0</v>
      </c>
      <c r="H13" s="77">
        <f>IFERROR(Business_Plan_Incentive/NPV_neutral_equity_element_of_RAV,0)</f>
        <v>0</v>
      </c>
      <c r="I13" s="407"/>
      <c r="J13" s="78">
        <f>IFERROR(AVERAGE(D67:INDEX(D67:H67,0,MATCH('RFPR cover'!$C$9,$D$6:$H$6,0)))/AVERAGE($D$90:INDEX($D$90:$H$90,0,MATCH('RFPR cover'!$C$9,$D$6:$H$6,0))),0)</f>
        <v>0</v>
      </c>
      <c r="K13" s="78">
        <f t="shared" si="2"/>
        <v>0</v>
      </c>
    </row>
    <row r="14" spans="1:20">
      <c r="A14" s="408" t="s">
        <v>486</v>
      </c>
      <c r="B14" s="200" t="str">
        <f t="shared" si="3"/>
        <v>Customer Satisfaction Survey ODI - (SpC 4.2)</v>
      </c>
      <c r="C14" s="199" t="s">
        <v>484</v>
      </c>
      <c r="D14" s="77">
        <f>IFERROR(ODI_1/NPV_neutral_equity_element_of_RAV,0)</f>
        <v>6.0869752741825962E-4</v>
      </c>
      <c r="E14" s="77">
        <f>IFERROR(ODI_1/NPV_neutral_equity_element_of_RAV,0)</f>
        <v>3.8071906468738795E-4</v>
      </c>
      <c r="F14" s="77">
        <f>IFERROR(ODI_1/NPV_neutral_equity_element_of_RAV,0)</f>
        <v>1.4532017782449365E-3</v>
      </c>
      <c r="G14" s="77">
        <f>IFERROR(ODI_1/NPV_neutral_equity_element_of_RAV,0)</f>
        <v>0</v>
      </c>
      <c r="H14" s="77">
        <f>IFERROR(ODI_1/NPV_neutral_equity_element_of_RAV,0)</f>
        <v>0</v>
      </c>
      <c r="I14" s="407"/>
      <c r="J14" s="78">
        <f>IFERROR(AVERAGE(D68:INDEX(D68:H68,0,MATCH('RFPR cover'!$C$9,$D$6:$H$6,0)))/AVERAGE($D$90:INDEX($D$90:$H$90,0,MATCH('RFPR cover'!$C$9,$D$6:$H$6,0))),0)</f>
        <v>8.1478504253650649E-4</v>
      </c>
      <c r="K14" s="78">
        <f t="shared" si="2"/>
        <v>4.8575259725687741E-4</v>
      </c>
    </row>
    <row r="15" spans="1:20">
      <c r="A15" s="408" t="s">
        <v>487</v>
      </c>
      <c r="B15" s="200" t="str">
        <f t="shared" si="3"/>
        <v>Complaints metric ODI - (SpC 4.3)</v>
      </c>
      <c r="C15" s="199" t="s">
        <v>484</v>
      </c>
      <c r="D15" s="77">
        <f>IFERROR(ODI_2/NPV_neutral_equity_element_of_RAV,0)</f>
        <v>0</v>
      </c>
      <c r="E15" s="77">
        <f>IFERROR(ODI_2/NPV_neutral_equity_element_of_RAV,0)</f>
        <v>0</v>
      </c>
      <c r="F15" s="77">
        <f>IFERROR(ODI_2/NPV_neutral_equity_element_of_RAV,0)</f>
        <v>0</v>
      </c>
      <c r="G15" s="77">
        <f>IFERROR(ODI_2/NPV_neutral_equity_element_of_RAV,0)</f>
        <v>0</v>
      </c>
      <c r="H15" s="77">
        <f>IFERROR(ODI_2/NPV_neutral_equity_element_of_RAV,0)</f>
        <v>0</v>
      </c>
      <c r="I15" s="407"/>
      <c r="J15" s="78">
        <f>IFERROR(AVERAGE(D69:INDEX(D69:H69,0,MATCH('RFPR cover'!$C$9,$D$6:$H$6,0)))/AVERAGE($D$90:INDEX($D$90:$H$90,0,MATCH('RFPR cover'!$C$9,$D$6:$H$6,0))),0)</f>
        <v>0</v>
      </c>
      <c r="K15" s="78">
        <f t="shared" si="2"/>
        <v>0</v>
      </c>
    </row>
    <row r="16" spans="1:20">
      <c r="A16" s="408" t="s">
        <v>488</v>
      </c>
      <c r="B16" s="200" t="str">
        <f t="shared" si="3"/>
        <v>Unplanned Interruption Mean Duration ODI [NGN, SGN and WWU] - (SpC 4.5)</v>
      </c>
      <c r="C16" s="199" t="s">
        <v>484</v>
      </c>
      <c r="D16" s="77">
        <f>IFERROR(ODI_3/NPV_neutral_equity_element_of_RAV,0)</f>
        <v>0</v>
      </c>
      <c r="E16" s="77">
        <f>IFERROR(ODI_3/NPV_neutral_equity_element_of_RAV,0)</f>
        <v>0</v>
      </c>
      <c r="F16" s="77">
        <f>IFERROR(ODI_3/NPV_neutral_equity_element_of_RAV,0)</f>
        <v>-1.9849713634340826E-3</v>
      </c>
      <c r="G16" s="77">
        <f>IFERROR(ODI_3/NPV_neutral_equity_element_of_RAV,0)</f>
        <v>0</v>
      </c>
      <c r="H16" s="77">
        <f>IFERROR(ODI_3/NPV_neutral_equity_element_of_RAV,0)</f>
        <v>0</v>
      </c>
      <c r="I16" s="407"/>
      <c r="J16" s="78">
        <f>IFERROR(AVERAGE(D70:INDEX(D70:H70,0,MATCH('RFPR cover'!$C$9,$D$6:$H$6,0)))/AVERAGE($D$90:INDEX($D$90:$H$90,0,MATCH('RFPR cover'!$C$9,$D$6:$H$6,0))),0)</f>
        <v>-6.6306934395012854E-4</v>
      </c>
      <c r="K16" s="78">
        <f t="shared" si="2"/>
        <v>-3.953038398722907E-4</v>
      </c>
    </row>
    <row r="17" spans="1:11">
      <c r="A17" s="408" t="s">
        <v>489</v>
      </c>
      <c r="B17" s="200" t="str">
        <f t="shared" si="3"/>
        <v>Unplanned Interruption Mean Duration ODI [Cadent only]- (SpC 4.6)</v>
      </c>
      <c r="C17" s="199" t="s">
        <v>484</v>
      </c>
      <c r="D17" s="77">
        <f>IFERROR(ODI_4/NPV_neutral_equity_element_of_RAV,0)</f>
        <v>0</v>
      </c>
      <c r="E17" s="77">
        <f>IFERROR(ODI_4/NPV_neutral_equity_element_of_RAV,0)</f>
        <v>0</v>
      </c>
      <c r="F17" s="77">
        <f>IFERROR(ODI_4/NPV_neutral_equity_element_of_RAV,0)</f>
        <v>0</v>
      </c>
      <c r="G17" s="77">
        <f>IFERROR(ODI_4/NPV_neutral_equity_element_of_RAV,0)</f>
        <v>0</v>
      </c>
      <c r="H17" s="77">
        <f>IFERROR(ODI_4/NPV_neutral_equity_element_of_RAV,0)</f>
        <v>0</v>
      </c>
      <c r="I17" s="407"/>
      <c r="J17" s="78">
        <f>IFERROR(AVERAGE(D71:INDEX(D71:H71,0,MATCH('RFPR cover'!$C$9,$D$6:$H$6,0)))/AVERAGE($D$90:INDEX($D$90:$H$90,0,MATCH('RFPR cover'!$C$9,$D$6:$H$6,0))),0)</f>
        <v>0</v>
      </c>
      <c r="K17" s="78">
        <f t="shared" si="2"/>
        <v>0</v>
      </c>
    </row>
    <row r="18" spans="1:11">
      <c r="A18" s="408" t="s">
        <v>490</v>
      </c>
      <c r="B18" s="200" t="str">
        <f t="shared" si="3"/>
        <v>Shrinkage Management ODI- (SpC 4.4)</v>
      </c>
      <c r="C18" s="199" t="s">
        <v>484</v>
      </c>
      <c r="D18" s="77">
        <f>IFERROR(ODI_5/NPV_neutral_equity_element_of_RAV,0)</f>
        <v>1.8741942848525479E-4</v>
      </c>
      <c r="E18" s="77">
        <f>IFERROR(ODI_5/NPV_neutral_equity_element_of_RAV,0)</f>
        <v>1.3500193153677411E-4</v>
      </c>
      <c r="F18" s="77">
        <f>IFERROR(ODI_5/NPV_neutral_equity_element_of_RAV,0)</f>
        <v>2.0901424382577935E-4</v>
      </c>
      <c r="G18" s="77">
        <f>IFERROR(ODI_5/NPV_neutral_equity_element_of_RAV,0)</f>
        <v>0</v>
      </c>
      <c r="H18" s="77">
        <f>IFERROR(ODI_5/NPV_neutral_equity_element_of_RAV,0)</f>
        <v>0</v>
      </c>
      <c r="I18" s="407"/>
      <c r="J18" s="78">
        <f>IFERROR(AVERAGE(D72:INDEX(D72:H72,0,MATCH('RFPR cover'!$C$9,$D$6:$H$6,0)))/AVERAGE($D$90:INDEX($D$90:$H$90,0,MATCH('RFPR cover'!$C$9,$D$6:$H$6,0))),0)</f>
        <v>1.7715552750565951E-4</v>
      </c>
      <c r="K18" s="78">
        <f t="shared" si="2"/>
        <v>1.0561528883298155E-4</v>
      </c>
    </row>
    <row r="19" spans="1:11">
      <c r="A19" s="408" t="s">
        <v>491</v>
      </c>
      <c r="B19" s="200" t="str">
        <f>B73</f>
        <v>Collaborative streetworks ODI [Cadent Lon &amp; EoE, SGN So only]- (SpC 4.7)</v>
      </c>
      <c r="C19" s="199" t="s">
        <v>484</v>
      </c>
      <c r="D19" s="77">
        <f>IFERROR(ODI_6/NPV_neutral_equity_element_of_RAV,0)</f>
        <v>5.9723261926804847E-4</v>
      </c>
      <c r="E19" s="77">
        <f>IFERROR(ODI_6/NPV_neutral_equity_element_of_RAV,0)</f>
        <v>9.9268997942843326E-4</v>
      </c>
      <c r="F19" s="77">
        <f>IFERROR(ODI_6/NPV_neutral_equity_element_of_RAV,0)</f>
        <v>7.9268905511933896E-4</v>
      </c>
      <c r="G19" s="77">
        <f>IFERROR(ODI_6/NPV_neutral_equity_element_of_RAV,0)</f>
        <v>0</v>
      </c>
      <c r="H19" s="77">
        <f>IFERROR(ODI_6/NPV_neutral_equity_element_of_RAV,0)</f>
        <v>0</v>
      </c>
      <c r="I19" s="407"/>
      <c r="J19" s="78">
        <f>IFERROR(AVERAGE(D73:INDEX(D73:H73,0,MATCH('RFPR cover'!$C$9,$D$6:$H$6,0)))/AVERAGE($D$90:INDEX($D$90:$H$90,0,MATCH('RFPR cover'!$C$9,$D$6:$H$6,0))),0)</f>
        <v>7.943809488895157E-4</v>
      </c>
      <c r="K19" s="78">
        <f t="shared" si="2"/>
        <v>4.7358823369315347E-4</v>
      </c>
    </row>
    <row r="20" spans="1:11">
      <c r="A20" s="408" t="s">
        <v>492</v>
      </c>
      <c r="B20" s="200" t="str">
        <f t="shared" ref="B20" si="4">B74</f>
        <v>Network innovation input for RORE</v>
      </c>
      <c r="C20" s="199" t="s">
        <v>484</v>
      </c>
      <c r="D20" s="77">
        <f>IFERROR(ORA_1/NPV_neutral_equity_element_of_RAV,0)</f>
        <v>-1.0228603992664108E-4</v>
      </c>
      <c r="E20" s="77">
        <f>IFERROR(ORA_1/NPV_neutral_equity_element_of_RAV,0)</f>
        <v>-1.3910548408124418E-4</v>
      </c>
      <c r="F20" s="77">
        <f>IFERROR(ORA_1/NPV_neutral_equity_element_of_RAV,0)</f>
        <v>-1.8411939088216255E-4</v>
      </c>
      <c r="G20" s="77">
        <f>IFERROR(ORA_1/NPV_neutral_equity_element_of_RAV,0)</f>
        <v>0</v>
      </c>
      <c r="H20" s="77">
        <f>IFERROR(ORA_1/NPV_neutral_equity_element_of_RAV,0)</f>
        <v>0</v>
      </c>
      <c r="I20" s="407"/>
      <c r="J20" s="78">
        <f>IFERROR(AVERAGE(D74:INDEX(D74:H74,0,MATCH('RFPR cover'!$C$9,$D$6:$H$6,0)))/AVERAGE($D$90:INDEX($D$90:$H$90,0,MATCH('RFPR cover'!$C$9,$D$6:$H$6,0))),0)</f>
        <v>-1.4189873110670014E-4</v>
      </c>
      <c r="K20" s="78">
        <f t="shared" si="2"/>
        <v>-8.4596149394147174E-5</v>
      </c>
    </row>
    <row r="21" spans="1:11">
      <c r="A21" s="408" t="s">
        <v>493</v>
      </c>
      <c r="B21" s="200" t="str">
        <f t="shared" ref="B21" si="5">B75</f>
        <v>Carry-over Network innovation input for RORE</v>
      </c>
      <c r="C21" s="199" t="s">
        <v>484</v>
      </c>
      <c r="D21" s="77">
        <f>IFERROR(ORA_2/NPV_neutral_equity_element_of_RAV,0)</f>
        <v>-6.8130208523714634E-6</v>
      </c>
      <c r="E21" s="77">
        <f>IFERROR(ORA_2/NPV_neutral_equity_element_of_RAV,0)</f>
        <v>0</v>
      </c>
      <c r="F21" s="77">
        <f>IFERROR(ORA_2/NPV_neutral_equity_element_of_RAV,0)</f>
        <v>0</v>
      </c>
      <c r="G21" s="77">
        <f>IFERROR(ORA_2/NPV_neutral_equity_element_of_RAV,0)</f>
        <v>0</v>
      </c>
      <c r="H21" s="77">
        <f>IFERROR(ORA_2/NPV_neutral_equity_element_of_RAV,0)</f>
        <v>0</v>
      </c>
      <c r="I21" s="407"/>
      <c r="J21" s="78">
        <f>IFERROR(AVERAGE(D75:INDEX(D75:H75,0,MATCH('RFPR cover'!$C$9,$D$6:$H$6,0)))/AVERAGE($D$90:INDEX($D$90:$H$90,0,MATCH('RFPR cover'!$C$9,$D$6:$H$6,0))),0)</f>
        <v>-2.2655050121608648E-6</v>
      </c>
      <c r="K21" s="78">
        <f t="shared" si="2"/>
        <v>-1.3506322358713485E-6</v>
      </c>
    </row>
    <row r="22" spans="1:11">
      <c r="A22" s="408" t="s">
        <v>494</v>
      </c>
      <c r="B22" s="200" t="str">
        <f t="shared" ref="B22:B27" si="6">B76</f>
        <v>Strategic innovation input for RORE</v>
      </c>
      <c r="C22" s="199" t="s">
        <v>484</v>
      </c>
      <c r="D22" s="77">
        <f>IFERROR(ORA_3/NPV_neutral_equity_element_of_RAV,0)</f>
        <v>0</v>
      </c>
      <c r="E22" s="77">
        <f>IFERROR(ORA_3/NPV_neutral_equity_element_of_RAV,0)</f>
        <v>0</v>
      </c>
      <c r="F22" s="77">
        <f>IFERROR(ORA_3/NPV_neutral_equity_element_of_RAV,0)</f>
        <v>0</v>
      </c>
      <c r="G22" s="77">
        <f>IFERROR(ORA_3/NPV_neutral_equity_element_of_RAV,0)</f>
        <v>0</v>
      </c>
      <c r="H22" s="77">
        <f>IFERROR(ORA_3/NPV_neutral_equity_element_of_RAV,0)</f>
        <v>0</v>
      </c>
      <c r="I22" s="407"/>
      <c r="J22" s="78">
        <f>IFERROR(AVERAGE(D76:INDEX(D76:H76,0,MATCH('RFPR cover'!$C$9,$D$6:$H$6,0)))/AVERAGE($D$90:INDEX($D$90:$H$90,0,MATCH('RFPR cover'!$C$9,$D$6:$H$6,0))),0)</f>
        <v>0</v>
      </c>
      <c r="K22" s="78">
        <f>IFERROR(AVERAGE(D76:H76)/AVERAGE($D$90:$H$90),0)</f>
        <v>0</v>
      </c>
    </row>
    <row r="23" spans="1:11">
      <c r="A23" s="408" t="s">
        <v>495</v>
      </c>
      <c r="B23" s="200" t="str">
        <f t="shared" si="6"/>
        <v/>
      </c>
      <c r="C23" s="199" t="s">
        <v>484</v>
      </c>
      <c r="D23" s="77">
        <f>IFERROR(ORA_4/NPV_neutral_equity_element_of_RAV,0)</f>
        <v>0</v>
      </c>
      <c r="E23" s="77">
        <f>IFERROR(ORA_4/NPV_neutral_equity_element_of_RAV,0)</f>
        <v>-7.7922778475038236E-4</v>
      </c>
      <c r="F23" s="77">
        <f>IFERROR(ORA_4/NPV_neutral_equity_element_of_RAV,0)</f>
        <v>0</v>
      </c>
      <c r="G23" s="77">
        <f>IFERROR(ORA_4/NPV_neutral_equity_element_of_RAV,0)</f>
        <v>0</v>
      </c>
      <c r="H23" s="77">
        <f>IFERROR(ORA_4/NPV_neutral_equity_element_of_RAV,0)</f>
        <v>0</v>
      </c>
      <c r="I23" s="407"/>
      <c r="J23" s="78">
        <f>IFERROR(AVERAGE(D77:INDEX(D77:H77,0,MATCH('RFPR cover'!$C$9,$D$6:$H$6,0)))/AVERAGE($D$90:INDEX($D$90:$H$90,0,MATCH('RFPR cover'!$C$9,$D$6:$H$6,0))),0)</f>
        <v>-2.5981748241257362E-4</v>
      </c>
      <c r="K23" s="78">
        <f t="shared" ref="K23:K28" si="7">IFERROR(AVERAGE(D77:H77)/AVERAGE($D$90:$H$90),0)</f>
        <v>-1.5489608952780446E-4</v>
      </c>
    </row>
    <row r="24" spans="1:11">
      <c r="A24" s="408" t="s">
        <v>496</v>
      </c>
      <c r="B24" s="200" t="str">
        <f t="shared" si="6"/>
        <v/>
      </c>
      <c r="C24" s="199" t="s">
        <v>484</v>
      </c>
      <c r="D24" s="77">
        <f>IFERROR(ORA_5/NPV_neutral_equity_element_of_RAV,0)</f>
        <v>0</v>
      </c>
      <c r="E24" s="77">
        <f>IFERROR(ORA_5/NPV_neutral_equity_element_of_RAV,0)</f>
        <v>0</v>
      </c>
      <c r="F24" s="77">
        <f>IFERROR(ORA_5/NPV_neutral_equity_element_of_RAV,0)</f>
        <v>0</v>
      </c>
      <c r="G24" s="77">
        <f>IFERROR(ORA_5/NPV_neutral_equity_element_of_RAV,0)</f>
        <v>0</v>
      </c>
      <c r="H24" s="77">
        <f>IFERROR(ORA_5/NPV_neutral_equity_element_of_RAV,0)</f>
        <v>0</v>
      </c>
      <c r="I24" s="407"/>
      <c r="J24" s="78">
        <f>IFERROR(AVERAGE(D78:INDEX(D78:H78,0,MATCH('RFPR cover'!$C$9,$D$6:$H$6,0)))/AVERAGE($D$90:INDEX($D$90:$H$90,0,MATCH('RFPR cover'!$C$9,$D$6:$H$6,0))),0)</f>
        <v>0</v>
      </c>
      <c r="K24" s="78">
        <f t="shared" si="7"/>
        <v>0</v>
      </c>
    </row>
    <row r="25" spans="1:11">
      <c r="A25" s="408" t="s">
        <v>497</v>
      </c>
      <c r="B25" s="200" t="str">
        <f t="shared" si="6"/>
        <v/>
      </c>
      <c r="C25" s="199" t="s">
        <v>484</v>
      </c>
      <c r="D25" s="77">
        <f>IFERROR(ORA_6/NPV_neutral_equity_element_of_RAV,0)</f>
        <v>0</v>
      </c>
      <c r="E25" s="77">
        <f>IFERROR(ORA_6/NPV_neutral_equity_element_of_RAV,0)</f>
        <v>0</v>
      </c>
      <c r="F25" s="77">
        <f>IFERROR(ORA_6/NPV_neutral_equity_element_of_RAV,0)</f>
        <v>0</v>
      </c>
      <c r="G25" s="77">
        <f>IFERROR(ORA_6/NPV_neutral_equity_element_of_RAV,0)</f>
        <v>0</v>
      </c>
      <c r="H25" s="77">
        <f>IFERROR(ORA_6/NPV_neutral_equity_element_of_RAV,0)</f>
        <v>0</v>
      </c>
      <c r="I25" s="407"/>
      <c r="J25" s="78">
        <f>IFERROR(AVERAGE(D79:INDEX(D79:H79,0,MATCH('RFPR cover'!$C$9,$D$6:$H$6,0)))/AVERAGE($D$90:INDEX($D$90:$H$90,0,MATCH('RFPR cover'!$C$9,$D$6:$H$6,0))),0)</f>
        <v>0</v>
      </c>
      <c r="K25" s="78">
        <f t="shared" si="7"/>
        <v>0</v>
      </c>
    </row>
    <row r="26" spans="1:11">
      <c r="A26" s="408" t="s">
        <v>498</v>
      </c>
      <c r="B26" s="200" t="str">
        <f t="shared" si="6"/>
        <v/>
      </c>
      <c r="C26" s="199" t="s">
        <v>484</v>
      </c>
      <c r="D26" s="77">
        <f>IFERROR(ORA_7/NPV_neutral_equity_element_of_RAV,0)</f>
        <v>0</v>
      </c>
      <c r="E26" s="77">
        <f>IFERROR(ORA_7/NPV_neutral_equity_element_of_RAV,0)</f>
        <v>0</v>
      </c>
      <c r="F26" s="77">
        <f>IFERROR(ORA_7/NPV_neutral_equity_element_of_RAV,0)</f>
        <v>0</v>
      </c>
      <c r="G26" s="77">
        <f>IFERROR(ORA_7/NPV_neutral_equity_element_of_RAV,0)</f>
        <v>0</v>
      </c>
      <c r="H26" s="77">
        <f>IFERROR(ORA_7/NPV_neutral_equity_element_of_RAV,0)</f>
        <v>0</v>
      </c>
      <c r="I26" s="407"/>
      <c r="J26" s="78">
        <f>IFERROR(AVERAGE(D80:INDEX(D80:H80,0,MATCH('RFPR cover'!$C$9,$D$6:$H$6,0)))/AVERAGE($D$90:INDEX($D$90:$H$90,0,MATCH('RFPR cover'!$C$9,$D$6:$H$6,0))),0)</f>
        <v>0</v>
      </c>
      <c r="K26" s="78">
        <f t="shared" si="7"/>
        <v>0</v>
      </c>
    </row>
    <row r="27" spans="1:11">
      <c r="A27" s="408" t="s">
        <v>499</v>
      </c>
      <c r="B27" s="200" t="str">
        <f t="shared" si="6"/>
        <v/>
      </c>
      <c r="C27" s="199" t="s">
        <v>484</v>
      </c>
      <c r="D27" s="77">
        <f>IFERROR(ORA_8/NPV_neutral_equity_element_of_RAV,0)</f>
        <v>0</v>
      </c>
      <c r="E27" s="77">
        <f>IFERROR(ORA_8/NPV_neutral_equity_element_of_RAV,0)</f>
        <v>0</v>
      </c>
      <c r="F27" s="77">
        <f>IFERROR(ORA_8/NPV_neutral_equity_element_of_RAV,0)</f>
        <v>0</v>
      </c>
      <c r="G27" s="77">
        <f>IFERROR(ORA_8/NPV_neutral_equity_element_of_RAV,0)</f>
        <v>0</v>
      </c>
      <c r="H27" s="77">
        <f>IFERROR(ORA_8/NPV_neutral_equity_element_of_RAV,0)</f>
        <v>0</v>
      </c>
      <c r="I27" s="407"/>
      <c r="J27" s="78">
        <f>IFERROR(AVERAGE(D81:INDEX(D81:H81,0,MATCH('RFPR cover'!$C$9,$D$6:$H$6,0)))/AVERAGE($D$90:INDEX($D$90:$H$90,0,MATCH('RFPR cover'!$C$9,$D$6:$H$6,0))),0)</f>
        <v>0</v>
      </c>
      <c r="K27" s="78">
        <f t="shared" si="7"/>
        <v>0</v>
      </c>
    </row>
    <row r="28" spans="1:11" ht="14" thickBot="1">
      <c r="B28" s="200" t="str">
        <f t="shared" ref="B28:B30" si="8">B82</f>
        <v>Penalties and fines (Other Activities)</v>
      </c>
      <c r="C28" s="199" t="s">
        <v>484</v>
      </c>
      <c r="D28" s="409">
        <f>IFERROR(Penalties_and_fines/NPV_neutral_equity_element_of_RAV,0)</f>
        <v>-6.9130340758776475E-4</v>
      </c>
      <c r="E28" s="409">
        <f>IFERROR(Penalties_and_fines/NPV_neutral_equity_element_of_RAV,0)</f>
        <v>-7.3058044380053104E-4</v>
      </c>
      <c r="F28" s="409">
        <f>IFERROR(Penalties_and_fines/NPV_neutral_equity_element_of_RAV,0)</f>
        <v>-1.229722291534296E-3</v>
      </c>
      <c r="G28" s="409">
        <f>IFERROR(Penalties_and_fines/NPV_neutral_equity_element_of_RAV,0)</f>
        <v>0</v>
      </c>
      <c r="H28" s="409">
        <f>IFERROR(Penalties_and_fines/NPV_neutral_equity_element_of_RAV,0)</f>
        <v>0</v>
      </c>
      <c r="I28" s="407"/>
      <c r="J28" s="78">
        <f>IFERROR(AVERAGE(D82:INDEX(D82:H82,0,MATCH('RFPR cover'!$C$9,$D$6:$H$6,0)))/AVERAGE($D$90:INDEX($D$90:$H$90,0,MATCH('RFPR cover'!$C$9,$D$6:$H$6,0))),0)</f>
        <v>-8.842555511819135E-4</v>
      </c>
      <c r="K28" s="78">
        <f t="shared" si="7"/>
        <v>-5.2716901784090006E-4</v>
      </c>
    </row>
    <row r="29" spans="1:11" ht="14" thickBot="1">
      <c r="B29" s="201" t="str">
        <f t="shared" si="8"/>
        <v>RoRE - Operational performance</v>
      </c>
      <c r="C29" s="71" t="s">
        <v>484</v>
      </c>
      <c r="D29" s="188">
        <f>SUM(D11:D28)</f>
        <v>5.1542235590974018E-2</v>
      </c>
      <c r="E29" s="189">
        <f t="shared" ref="E29:H29" si="9">SUM(E11:E28)</f>
        <v>3.9939215776284648E-2</v>
      </c>
      <c r="F29" s="189">
        <f t="shared" si="9"/>
        <v>3.6169991000727056E-2</v>
      </c>
      <c r="G29" s="189">
        <f t="shared" si="9"/>
        <v>2.5172948829862145E-2</v>
      </c>
      <c r="H29" s="190">
        <f t="shared" si="9"/>
        <v>3.8758942986807092E-2</v>
      </c>
      <c r="I29" s="410"/>
      <c r="J29" s="192">
        <f>SUM(J11:J28)</f>
        <v>4.253842898491754E-2</v>
      </c>
      <c r="K29" s="190">
        <f>SUM(K11:K28)</f>
        <v>3.8285192049232357E-2</v>
      </c>
    </row>
    <row r="30" spans="1:11">
      <c r="B30" s="200" t="str">
        <f t="shared" si="8"/>
        <v>Debt performance - at notional gearing</v>
      </c>
      <c r="C30" s="199" t="s">
        <v>484</v>
      </c>
      <c r="D30" s="411">
        <f>IFERROR(Debt_performance___at_notional_gearing/NPV_neutral_equity_element_of_RAV,0)</f>
        <v>2.2407743628282822E-2</v>
      </c>
      <c r="E30" s="411">
        <f>IFERROR(Debt_performance___at_notional_gearing/NPV_neutral_equity_element_of_RAV,0)</f>
        <v>6.1757052700062758E-2</v>
      </c>
      <c r="F30" s="411">
        <f>IFERROR(Debt_performance___at_notional_gearing/NPV_neutral_equity_element_of_RAV,0)</f>
        <v>3.753843958934585E-2</v>
      </c>
      <c r="G30" s="411">
        <f>IFERROR(Debt_performance___at_notional_gearing/NPV_neutral_equity_element_of_RAV,0)</f>
        <v>1.2203684695289636E-2</v>
      </c>
      <c r="H30" s="411">
        <f>IFERROR(Debt_performance___at_notional_gearing/NPV_neutral_equity_element_of_RAV,0)</f>
        <v>-4.4493627717095878E-3</v>
      </c>
      <c r="I30" s="407"/>
      <c r="J30" s="191">
        <f>IFERROR(AVERAGE(D84:INDEX(D84:H84,0,MATCH('RFPR cover'!$C$9,$D$6:$H$6,0)))/AVERAGE($D$90:INDEX($D$90:$H$90,0,MATCH('RFPR cover'!$C$9,$D$6:$H$6,0))),0)</f>
        <v>4.0582291809066043E-2</v>
      </c>
      <c r="K30" s="191">
        <f>IFERROR(AVERAGE(D84:H84)/AVERAGE($D$90:$H$90),0)</f>
        <v>2.5739875709525947E-2</v>
      </c>
    </row>
    <row r="31" spans="1:11" ht="14" thickBot="1">
      <c r="B31" s="200" t="str">
        <f>B86</f>
        <v>Tax performance - at notional gearing</v>
      </c>
      <c r="C31" s="199" t="s">
        <v>484</v>
      </c>
      <c r="D31" s="409">
        <f>IFERROR(Tax_performance___at_notional_gearing/NPV_neutral_equity_element_of_RAV,0)</f>
        <v>4.5903486564460279E-3</v>
      </c>
      <c r="E31" s="409">
        <f>IFERROR(Tax_performance___at_notional_gearing/NPV_neutral_equity_element_of_RAV,0)</f>
        <v>-4.8167349884221666E-3</v>
      </c>
      <c r="F31" s="409">
        <f>IFERROR(Tax_performance___at_notional_gearing/NPV_neutral_equity_element_of_RAV,0)</f>
        <v>-8.7288185533935109E-3</v>
      </c>
      <c r="G31" s="409">
        <f>IFERROR(Tax_performance___at_notional_gearing/NPV_neutral_equity_element_of_RAV,0)</f>
        <v>1.244512456480772E-2</v>
      </c>
      <c r="H31" s="409">
        <f>IFERROR(Tax_performance___at_notional_gearing/NPV_neutral_equity_element_of_RAV,0)</f>
        <v>3.6680635889625867E-3</v>
      </c>
      <c r="I31" s="407"/>
      <c r="J31" s="33">
        <f>IFERROR(AVERAGE(D86:INDEX(D86:H86,0,MATCH('RFPR cover'!$C$9,$D$6:$H$6,0)))/AVERAGE($D$90:INDEX($D$90:$H$90,0,MATCH('RFPR cover'!$C$9,$D$6:$H$6,0))),0)</f>
        <v>-2.9954483822820042E-3</v>
      </c>
      <c r="K31" s="33">
        <f>IFERROR(AVERAGE(D86:H86)/AVERAGE($D$90:$H$90),0)</f>
        <v>1.4571891315260446E-3</v>
      </c>
    </row>
    <row r="32" spans="1:11" ht="14" thickBot="1">
      <c r="B32" s="201" t="str">
        <f>B88</f>
        <v>RoRE - including financing and tax</v>
      </c>
      <c r="C32" s="71" t="s">
        <v>484</v>
      </c>
      <c r="D32" s="188">
        <f>SUM(D29:D31)</f>
        <v>7.8540327875702864E-2</v>
      </c>
      <c r="E32" s="189">
        <f t="shared" ref="E32:H32" si="10">SUM(E29:E31)</f>
        <v>9.6879533487925246E-2</v>
      </c>
      <c r="F32" s="189">
        <f t="shared" si="10"/>
        <v>6.4979612036679388E-2</v>
      </c>
      <c r="G32" s="189">
        <f t="shared" si="10"/>
        <v>4.9821758089959506E-2</v>
      </c>
      <c r="H32" s="190">
        <f t="shared" si="10"/>
        <v>3.7977643804060088E-2</v>
      </c>
      <c r="I32" s="410"/>
      <c r="J32" s="192">
        <f>SUM(J29:J31)</f>
        <v>8.0125272411701573E-2</v>
      </c>
      <c r="K32" s="190">
        <f>SUM(K29:K31)</f>
        <v>6.5482256890284335E-2</v>
      </c>
    </row>
    <row r="36" spans="1:13">
      <c r="B36" s="404" t="s">
        <v>500</v>
      </c>
      <c r="C36" s="38"/>
      <c r="D36" s="38"/>
      <c r="E36" s="38"/>
      <c r="F36" s="38"/>
      <c r="G36" s="38"/>
      <c r="H36" s="38"/>
      <c r="I36" s="405"/>
      <c r="J36" s="38"/>
      <c r="K36" s="38"/>
      <c r="L36" s="38"/>
    </row>
    <row r="37" spans="1:13">
      <c r="B37" s="406"/>
      <c r="I37" s="10"/>
    </row>
    <row r="38" spans="1:13">
      <c r="B38" s="200" t="s">
        <v>483</v>
      </c>
      <c r="C38" s="199" t="s">
        <v>484</v>
      </c>
      <c r="D38" s="77">
        <f>IFERROR(Equity_Return_on_the_RAV/Equity_RAV_based_on_actual_gearing,0)</f>
        <v>5.999418033514535E-2</v>
      </c>
      <c r="E38" s="77">
        <f>IFERROR(Equity_Return_on_the_RAV/Equity_RAV_based_on_actual_gearing,0)</f>
        <v>5.5075544179337105E-2</v>
      </c>
      <c r="F38" s="77">
        <f>IFERROR(Equity_Return_on_the_RAV/Equity_RAV_based_on_actual_gearing,0)</f>
        <v>6.1294672266873851E-2</v>
      </c>
      <c r="G38" s="77">
        <f>IFERROR(Equity_Return_on_the_RAV/Equity_RAV_based_on_actual_gearing,0)</f>
        <v>6.7998319666101453E-2</v>
      </c>
      <c r="H38" s="77">
        <f>IFERROR(Equity_Return_on_the_RAV/Equity_RAV_based_on_actual_gearing,0)</f>
        <v>6.9700194176107511E-2</v>
      </c>
      <c r="I38" s="407"/>
      <c r="J38" s="30">
        <f>IFERROR(AVERAGE(D65:INDEX(D65:H65,0,MATCH('RFPR cover'!$C$9,$D$6:$H$6,0)))/AVERAGE($D$91:INDEX($D$91:$H$91,0,MATCH('RFPR cover'!$C$9,$D$6:$H$6,0))),0)</f>
        <v>5.8787582685455135E-2</v>
      </c>
      <c r="K38" s="78">
        <f t="shared" ref="K38:K48" si="11">IFERROR(AVERAGE(D65:H65)/AVERAGE($D$91:$H$91),0)</f>
        <v>6.2823536650043713E-2</v>
      </c>
      <c r="M38" s="412"/>
    </row>
    <row r="39" spans="1:13">
      <c r="B39" s="200" t="str">
        <f t="shared" ref="B39:B46" si="12">B66</f>
        <v>Totex outperformance</v>
      </c>
      <c r="C39" s="199" t="s">
        <v>484</v>
      </c>
      <c r="D39" s="77">
        <f>IFERROR(Totex_outperformance/Equity_RAV_based_on_actual_gearing,0)</f>
        <v>7.6581779468525239E-3</v>
      </c>
      <c r="E39" s="77">
        <f>IFERROR(Totex_outperformance/Equity_RAV_based_on_actual_gearing,0)</f>
        <v>-6.6334966622705518E-3</v>
      </c>
      <c r="F39" s="77">
        <f>IFERROR(Totex_outperformance/Equity_RAV_based_on_actual_gearing,0)</f>
        <v>-1.8237423429375042E-2</v>
      </c>
      <c r="G39" s="77">
        <f>IFERROR(Totex_outperformance/Equity_RAV_based_on_actual_gearing,0)</f>
        <v>-3.7363792760364403E-2</v>
      </c>
      <c r="H39" s="77">
        <f>IFERROR(Totex_outperformance/Equity_RAV_based_on_actual_gearing,0)</f>
        <v>-2.0738074639794088E-2</v>
      </c>
      <c r="I39" s="407"/>
      <c r="J39" s="30">
        <f>IFERROR(AVERAGE(D66:INDEX(D66:H66,0,MATCH('RFPR cover'!$C$9,$D$6:$H$6,0)))/AVERAGE($D$91:INDEX($D$91:$H$91,0,MATCH('RFPR cover'!$C$9,$D$6:$H$6,0))),0)</f>
        <v>-6.3413998236211402E-3</v>
      </c>
      <c r="K39" s="78">
        <f t="shared" si="11"/>
        <v>-1.5503076313001997E-2</v>
      </c>
    </row>
    <row r="40" spans="1:13">
      <c r="A40" s="408" t="s">
        <v>485</v>
      </c>
      <c r="B40" s="200" t="str">
        <f t="shared" si="12"/>
        <v>Business Plan Incentive</v>
      </c>
      <c r="C40" s="199" t="s">
        <v>484</v>
      </c>
      <c r="D40" s="77">
        <f>IFERROR(Business_Plan_Incentive/Equity_RAV_based_on_actual_gearing,0)</f>
        <v>0</v>
      </c>
      <c r="E40" s="77">
        <f>IFERROR(Business_Plan_Incentive/Equity_RAV_based_on_actual_gearing,0)</f>
        <v>0</v>
      </c>
      <c r="F40" s="77">
        <f>IFERROR(Business_Plan_Incentive/Equity_RAV_based_on_actual_gearing,0)</f>
        <v>0</v>
      </c>
      <c r="G40" s="77">
        <f>IFERROR(Business_Plan_Incentive/Equity_RAV_based_on_actual_gearing,0)</f>
        <v>0</v>
      </c>
      <c r="H40" s="77">
        <f>IFERROR(Business_Plan_Incentive/Equity_RAV_based_on_actual_gearing,0)</f>
        <v>0</v>
      </c>
      <c r="I40" s="407"/>
      <c r="J40" s="30">
        <f>IFERROR(AVERAGE(D67:INDEX(D67:H67,0,MATCH('RFPR cover'!$C$9,$D$6:$H$6,0)))/AVERAGE($D$91:INDEX($D$91:$H$91,0,MATCH('RFPR cover'!$C$9,$D$6:$H$6,0))),0)</f>
        <v>0</v>
      </c>
      <c r="K40" s="78">
        <f t="shared" si="11"/>
        <v>0</v>
      </c>
    </row>
    <row r="41" spans="1:13">
      <c r="A41" s="408" t="s">
        <v>486</v>
      </c>
      <c r="B41" s="200" t="str">
        <f t="shared" si="12"/>
        <v>Customer Satisfaction Survey ODI - (SpC 4.2)</v>
      </c>
      <c r="C41" s="199" t="s">
        <v>484</v>
      </c>
      <c r="D41" s="77">
        <f>IFERROR(ODI_1/Equity_RAV_based_on_actual_gearing,0)</f>
        <v>8.0825119320481907E-4</v>
      </c>
      <c r="E41" s="77">
        <f>IFERROR(ODI_1/Equity_RAV_based_on_actual_gearing,0)</f>
        <v>4.6015320731696295E-4</v>
      </c>
      <c r="F41" s="77">
        <f>IFERROR(ODI_1/Equity_RAV_based_on_actual_gearing,0)</f>
        <v>1.6859147735622706E-3</v>
      </c>
      <c r="G41" s="77">
        <f>IFERROR(ODI_1/Equity_RAV_based_on_actual_gearing,0)</f>
        <v>0</v>
      </c>
      <c r="H41" s="77">
        <f>IFERROR(ODI_1/Equity_RAV_based_on_actual_gearing,0)</f>
        <v>0</v>
      </c>
      <c r="I41" s="407"/>
      <c r="J41" s="30">
        <f>IFERROR(AVERAGE(D68:INDEX(D68:H68,0,MATCH('RFPR cover'!$C$9,$D$6:$H$6,0)))/AVERAGE($D$91:INDEX($D$91:$H$91,0,MATCH('RFPR cover'!$C$9,$D$6:$H$6,0))),0)</f>
        <v>1.0006779611169611E-3</v>
      </c>
      <c r="K41" s="78">
        <f t="shared" si="11"/>
        <v>5.9885121410140291E-4</v>
      </c>
    </row>
    <row r="42" spans="1:13">
      <c r="A42" s="408" t="s">
        <v>487</v>
      </c>
      <c r="B42" s="200" t="str">
        <f t="shared" si="12"/>
        <v>Complaints metric ODI - (SpC 4.3)</v>
      </c>
      <c r="C42" s="199" t="s">
        <v>484</v>
      </c>
      <c r="D42" s="77">
        <f>IFERROR(ODI_2/Equity_RAV_based_on_actual_gearing,0)</f>
        <v>0</v>
      </c>
      <c r="E42" s="77">
        <f>IFERROR(ODI_2/Equity_RAV_based_on_actual_gearing,0)</f>
        <v>0</v>
      </c>
      <c r="F42" s="77">
        <f>IFERROR(ODI_2/Equity_RAV_based_on_actual_gearing,0)</f>
        <v>0</v>
      </c>
      <c r="G42" s="77">
        <f>IFERROR(ODI_2/Equity_RAV_based_on_actual_gearing,0)</f>
        <v>0</v>
      </c>
      <c r="H42" s="77">
        <f>IFERROR(ODI_2/Equity_RAV_based_on_actual_gearing,0)</f>
        <v>0</v>
      </c>
      <c r="I42" s="407"/>
      <c r="J42" s="30">
        <f>IFERROR(AVERAGE(D69:INDEX(D69:H69,0,MATCH('RFPR cover'!$C$9,$D$6:$H$6,0)))/AVERAGE($D$91:INDEX($D$91:$H$91,0,MATCH('RFPR cover'!$C$9,$D$6:$H$6,0))),0)</f>
        <v>0</v>
      </c>
      <c r="K42" s="78">
        <f t="shared" si="11"/>
        <v>0</v>
      </c>
    </row>
    <row r="43" spans="1:13">
      <c r="A43" s="408" t="s">
        <v>488</v>
      </c>
      <c r="B43" s="200" t="str">
        <f t="shared" si="12"/>
        <v>Unplanned Interruption Mean Duration ODI [NGN, SGN and WWU] - (SpC 4.5)</v>
      </c>
      <c r="C43" s="199" t="s">
        <v>484</v>
      </c>
      <c r="D43" s="77">
        <f>IFERROR(ODI_3/Equity_RAV_based_on_actual_gearing,0)</f>
        <v>0</v>
      </c>
      <c r="E43" s="77">
        <f>IFERROR(ODI_3/Equity_RAV_based_on_actual_gearing,0)</f>
        <v>0</v>
      </c>
      <c r="F43" s="77">
        <f>IFERROR(ODI_3/Equity_RAV_based_on_actual_gearing,0)</f>
        <v>-2.3028409384092518E-3</v>
      </c>
      <c r="G43" s="77">
        <f>IFERROR(ODI_3/Equity_RAV_based_on_actual_gearing,0)</f>
        <v>0</v>
      </c>
      <c r="H43" s="77">
        <f>IFERROR(ODI_3/Equity_RAV_based_on_actual_gearing,0)</f>
        <v>0</v>
      </c>
      <c r="I43" s="407"/>
      <c r="J43" s="30">
        <f>IFERROR(AVERAGE(D70:INDEX(D70:H70,0,MATCH('RFPR cover'!$C$9,$D$6:$H$6,0)))/AVERAGE($D$91:INDEX($D$91:$H$91,0,MATCH('RFPR cover'!$C$9,$D$6:$H$6,0))),0)</f>
        <v>-8.1434837968745184E-4</v>
      </c>
      <c r="K43" s="78">
        <f t="shared" si="11"/>
        <v>-4.8734311619394265E-4</v>
      </c>
    </row>
    <row r="44" spans="1:13">
      <c r="A44" s="408" t="s">
        <v>489</v>
      </c>
      <c r="B44" s="200" t="str">
        <f t="shared" si="12"/>
        <v>Unplanned Interruption Mean Duration ODI [Cadent only]- (SpC 4.6)</v>
      </c>
      <c r="C44" s="199" t="s">
        <v>484</v>
      </c>
      <c r="D44" s="77">
        <f>IFERROR(ODI_4/Equity_RAV_based_on_actual_gearing,0)</f>
        <v>0</v>
      </c>
      <c r="E44" s="77">
        <f>IFERROR(ODI_4/Equity_RAV_based_on_actual_gearing,0)</f>
        <v>0</v>
      </c>
      <c r="F44" s="77">
        <f>IFERROR(ODI_4/Equity_RAV_based_on_actual_gearing,0)</f>
        <v>0</v>
      </c>
      <c r="G44" s="77">
        <f>IFERROR(ODI_4/Equity_RAV_based_on_actual_gearing,0)</f>
        <v>0</v>
      </c>
      <c r="H44" s="77">
        <f>IFERROR(ODI_4/Equity_RAV_based_on_actual_gearing,0)</f>
        <v>0</v>
      </c>
      <c r="I44" s="407"/>
      <c r="J44" s="30">
        <f>IFERROR(AVERAGE(D71:INDEX(D71:H71,0,MATCH('RFPR cover'!$C$9,$D$6:$H$6,0)))/AVERAGE($D$91:INDEX($D$91:$H$91,0,MATCH('RFPR cover'!$C$9,$D$6:$H$6,0))),0)</f>
        <v>0</v>
      </c>
      <c r="K44" s="78">
        <f t="shared" si="11"/>
        <v>0</v>
      </c>
    </row>
    <row r="45" spans="1:13">
      <c r="A45" s="408" t="s">
        <v>490</v>
      </c>
      <c r="B45" s="200" t="str">
        <f t="shared" si="12"/>
        <v>Shrinkage Management ODI- (SpC 4.4)</v>
      </c>
      <c r="C45" s="199" t="s">
        <v>484</v>
      </c>
      <c r="D45" s="77">
        <f>IFERROR(ODI_5/Equity_RAV_based_on_actual_gearing,0)</f>
        <v>2.4886248075537738E-4</v>
      </c>
      <c r="E45" s="77">
        <f>IFERROR(ODI_5/Equity_RAV_based_on_actual_gearing,0)</f>
        <v>1.6316905968877672E-4</v>
      </c>
      <c r="F45" s="77">
        <f>IFERROR(ODI_5/Equity_RAV_based_on_actual_gearing,0)</f>
        <v>2.4248539110405254E-4</v>
      </c>
      <c r="G45" s="77">
        <f>IFERROR(ODI_5/Equity_RAV_based_on_actual_gearing,0)</f>
        <v>0</v>
      </c>
      <c r="H45" s="77">
        <f>IFERROR(ODI_5/Equity_RAV_based_on_actual_gearing,0)</f>
        <v>0</v>
      </c>
      <c r="I45" s="407"/>
      <c r="J45" s="30">
        <f>IFERROR(AVERAGE(D72:INDEX(D72:H72,0,MATCH('RFPR cover'!$C$9,$D$6:$H$6,0)))/AVERAGE($D$91:INDEX($D$91:$H$91,0,MATCH('RFPR cover'!$C$9,$D$6:$H$6,0))),0)</f>
        <v>2.1757349829727664E-4</v>
      </c>
      <c r="K45" s="78">
        <f t="shared" si="11"/>
        <v>1.3020587908839197E-4</v>
      </c>
    </row>
    <row r="46" spans="1:13">
      <c r="A46" s="408" t="s">
        <v>491</v>
      </c>
      <c r="B46" s="200" t="str">
        <f t="shared" si="12"/>
        <v>Collaborative streetworks ODI [Cadent Lon &amp; EoE, SGN So only]- (SpC 4.7)</v>
      </c>
      <c r="C46" s="199" t="s">
        <v>484</v>
      </c>
      <c r="D46" s="77">
        <f>IFERROR(ODI_6/Equity_RAV_based_on_actual_gearing,0)</f>
        <v>7.9302766218162753E-4</v>
      </c>
      <c r="E46" s="77">
        <f>IFERROR(ODI_6/Equity_RAV_based_on_actual_gearing,0)</f>
        <v>1.1998072076597418E-3</v>
      </c>
      <c r="F46" s="77">
        <f>IFERROR(ODI_6/Equity_RAV_based_on_actual_gearing,0)</f>
        <v>9.1962878718798268E-4</v>
      </c>
      <c r="G46" s="77">
        <f>IFERROR(ODI_6/Equity_RAV_based_on_actual_gearing,0)</f>
        <v>0</v>
      </c>
      <c r="H46" s="77">
        <f>IFERROR(ODI_6/Equity_RAV_based_on_actual_gearing,0)</f>
        <v>0</v>
      </c>
      <c r="I46" s="407"/>
      <c r="J46" s="30">
        <f>IFERROR(AVERAGE(D73:INDEX(D73:H73,0,MATCH('RFPR cover'!$C$9,$D$6:$H$6,0)))/AVERAGE($D$91:INDEX($D$91:$H$91,0,MATCH('RFPR cover'!$C$9,$D$6:$H$6,0))),0)</f>
        <v>9.7561868073848569E-4</v>
      </c>
      <c r="K46" s="78">
        <f t="shared" si="11"/>
        <v>5.8385460074298853E-4</v>
      </c>
    </row>
    <row r="47" spans="1:13">
      <c r="A47" s="408" t="s">
        <v>492</v>
      </c>
      <c r="B47" s="200" t="str">
        <f t="shared" ref="B47" si="13">B74</f>
        <v>Network innovation input for RORE</v>
      </c>
      <c r="C47" s="199" t="s">
        <v>484</v>
      </c>
      <c r="D47" s="77">
        <f>IFERROR(ORA_1/Equity_RAV_based_on_actual_gearing,0)</f>
        <v>-1.3581920427630672E-4</v>
      </c>
      <c r="E47" s="77">
        <f>IFERROR(ORA_1/Equity_RAV_based_on_actual_gearing,0)</f>
        <v>-1.6812878731965346E-4</v>
      </c>
      <c r="F47" s="77">
        <f>IFERROR(ORA_1/Equity_RAV_based_on_actual_gearing,0)</f>
        <v>-2.1360392330541512E-4</v>
      </c>
      <c r="G47" s="77">
        <f>IFERROR(ORA_1/Equity_RAV_based_on_actual_gearing,0)</f>
        <v>0</v>
      </c>
      <c r="H47" s="77">
        <f>IFERROR(ORA_1/Equity_RAV_based_on_actual_gearing,0)</f>
        <v>0</v>
      </c>
      <c r="I47" s="407"/>
      <c r="J47" s="30">
        <f>IFERROR(AVERAGE(D74:INDEX(D74:H74,0,MATCH('RFPR cover'!$C$9,$D$6:$H$6,0)))/AVERAGE($D$91:INDEX($D$91:$H$91,0,MATCH('RFPR cover'!$C$9,$D$6:$H$6,0))),0)</f>
        <v>-1.7427287629985486E-4</v>
      </c>
      <c r="K47" s="78">
        <f t="shared" si="11"/>
        <v>-1.0429281708235154E-4</v>
      </c>
    </row>
    <row r="48" spans="1:13">
      <c r="A48" s="408" t="s">
        <v>493</v>
      </c>
      <c r="B48" s="200" t="str">
        <f t="shared" ref="B48" si="14">B75</f>
        <v>Carry-over Network innovation input for RORE</v>
      </c>
      <c r="C48" s="199" t="s">
        <v>484</v>
      </c>
      <c r="D48" s="77">
        <f>IFERROR(ORA_2/Equity_RAV_based_on_actual_gearing,0)</f>
        <v>-9.0465822271604669E-6</v>
      </c>
      <c r="E48" s="77">
        <f>IFERROR(ORA_2/Equity_RAV_based_on_actual_gearing,0)</f>
        <v>0</v>
      </c>
      <c r="F48" s="77">
        <f>IFERROR(ORA_2/Equity_RAV_based_on_actual_gearing,0)</f>
        <v>0</v>
      </c>
      <c r="G48" s="77">
        <f>IFERROR(ORA_2/Equity_RAV_based_on_actual_gearing,0)</f>
        <v>0</v>
      </c>
      <c r="H48" s="77">
        <f>IFERROR(ORA_2/Equity_RAV_based_on_actual_gearing,0)</f>
        <v>0</v>
      </c>
      <c r="I48" s="407"/>
      <c r="J48" s="30">
        <f>IFERROR(AVERAGE(D75:INDEX(D75:H75,0,MATCH('RFPR cover'!$C$9,$D$6:$H$6,0)))/AVERAGE($D$91:INDEX($D$91:$H$91,0,MATCH('RFPR cover'!$C$9,$D$6:$H$6,0))),0)</f>
        <v>-2.7823791774722166E-6</v>
      </c>
      <c r="K48" s="78">
        <f t="shared" si="11"/>
        <v>-1.6651022739222169E-6</v>
      </c>
    </row>
    <row r="49" spans="1:12">
      <c r="A49" s="408" t="s">
        <v>494</v>
      </c>
      <c r="B49" s="278" t="str">
        <f>B76</f>
        <v>Strategic innovation input for RORE</v>
      </c>
      <c r="C49" s="199" t="s">
        <v>484</v>
      </c>
      <c r="D49" s="77">
        <f>IFERROR(ORA_3/Equity_RAV_based_on_actual_gearing,0)</f>
        <v>0</v>
      </c>
      <c r="E49" s="77">
        <f>IFERROR(ORA_3/Equity_RAV_based_on_actual_gearing,0)</f>
        <v>0</v>
      </c>
      <c r="F49" s="77">
        <f>IFERROR(ORA_3/Equity_RAV_based_on_actual_gearing,0)</f>
        <v>0</v>
      </c>
      <c r="G49" s="77">
        <f>IFERROR(ORA_3/Equity_RAV_based_on_actual_gearing,0)</f>
        <v>0</v>
      </c>
      <c r="H49" s="77">
        <f>IFERROR(ORA_3/Equity_RAV_based_on_actual_gearing,0)</f>
        <v>0</v>
      </c>
      <c r="I49" s="407"/>
      <c r="J49" s="30">
        <f>IFERROR(AVERAGE(D76:INDEX(D76:H76,0,MATCH('RFPR cover'!$C$9,$D$6:$H$6,0)))/AVERAGE($D$91:INDEX($D$91:$H$91,0,MATCH('RFPR cover'!$C$9,$D$6:$H$6,0))),0)</f>
        <v>0</v>
      </c>
      <c r="K49" s="78">
        <f>IFERROR(AVERAGE(D76:H76)/AVERAGE($D$91:$H$91),0)</f>
        <v>0</v>
      </c>
    </row>
    <row r="50" spans="1:12">
      <c r="A50" s="408" t="s">
        <v>495</v>
      </c>
      <c r="B50" s="200" t="str">
        <f t="shared" ref="B50:B54" si="15">B77</f>
        <v/>
      </c>
      <c r="C50" s="199" t="s">
        <v>484</v>
      </c>
      <c r="D50" s="77">
        <f>IFERROR(ORA_4/Equity_RAV_based_on_actual_gearing,0)</f>
        <v>0</v>
      </c>
      <c r="E50" s="77">
        <f>IFERROR(ORA_4/Equity_RAV_based_on_actual_gearing,0)</f>
        <v>-9.4180774655401329E-4</v>
      </c>
      <c r="F50" s="77">
        <f>IFERROR(ORA_4/Equity_RAV_based_on_actual_gearing,0)</f>
        <v>0</v>
      </c>
      <c r="G50" s="77">
        <f>IFERROR(ORA_4/Equity_RAV_based_on_actual_gearing,0)</f>
        <v>0</v>
      </c>
      <c r="H50" s="77">
        <f>IFERROR(ORA_4/Equity_RAV_based_on_actual_gearing,0)</f>
        <v>0</v>
      </c>
      <c r="I50" s="407"/>
      <c r="J50" s="30">
        <f>IFERROR(AVERAGE(D77:INDEX(D77:H77,0,MATCH('RFPR cover'!$C$9,$D$6:$H$6,0)))/AVERAGE($D$91:INDEX($D$91:$H$91,0,MATCH('RFPR cover'!$C$9,$D$6:$H$6,0))),0)</f>
        <v>-3.190947489091971E-4</v>
      </c>
      <c r="K50" s="78">
        <f t="shared" ref="K50:K55" si="16">IFERROR(AVERAGE(D77:H77)/AVERAGE($D$91:$H$91),0)</f>
        <v>-1.9096081379104142E-4</v>
      </c>
    </row>
    <row r="51" spans="1:12">
      <c r="A51" s="408" t="s">
        <v>496</v>
      </c>
      <c r="B51" s="200" t="str">
        <f t="shared" si="15"/>
        <v/>
      </c>
      <c r="C51" s="199" t="s">
        <v>484</v>
      </c>
      <c r="D51" s="77">
        <f>IFERROR(ORA_5/Equity_RAV_based_on_actual_gearing,0)</f>
        <v>0</v>
      </c>
      <c r="E51" s="77">
        <f>IFERROR(ORA_5/Equity_RAV_based_on_actual_gearing,0)</f>
        <v>0</v>
      </c>
      <c r="F51" s="77">
        <f>IFERROR(ORA_5/Equity_RAV_based_on_actual_gearing,0)</f>
        <v>0</v>
      </c>
      <c r="G51" s="77">
        <f>IFERROR(ORA_5/Equity_RAV_based_on_actual_gearing,0)</f>
        <v>0</v>
      </c>
      <c r="H51" s="77">
        <f>IFERROR(ORA_5/Equity_RAV_based_on_actual_gearing,0)</f>
        <v>0</v>
      </c>
      <c r="I51" s="407"/>
      <c r="J51" s="30">
        <f>IFERROR(AVERAGE(D78:INDEX(D78:H78,0,MATCH('RFPR cover'!$C$9,$D$6:$H$6,0)))/AVERAGE($D$91:INDEX($D$91:$H$91,0,MATCH('RFPR cover'!$C$9,$D$6:$H$6,0))),0)</f>
        <v>0</v>
      </c>
      <c r="K51" s="78">
        <f t="shared" si="16"/>
        <v>0</v>
      </c>
    </row>
    <row r="52" spans="1:12">
      <c r="A52" s="408" t="s">
        <v>497</v>
      </c>
      <c r="B52" s="200" t="str">
        <f t="shared" si="15"/>
        <v/>
      </c>
      <c r="C52" s="199" t="s">
        <v>484</v>
      </c>
      <c r="D52" s="77">
        <f>IFERROR(ORA_6/Equity_RAV_based_on_actual_gearing,0)</f>
        <v>0</v>
      </c>
      <c r="E52" s="77">
        <f>IFERROR(ORA_6/Equity_RAV_based_on_actual_gearing,0)</f>
        <v>0</v>
      </c>
      <c r="F52" s="77">
        <f>IFERROR(ORA_6/Equity_RAV_based_on_actual_gearing,0)</f>
        <v>0</v>
      </c>
      <c r="G52" s="77">
        <f>IFERROR(ORA_6/Equity_RAV_based_on_actual_gearing,0)</f>
        <v>0</v>
      </c>
      <c r="H52" s="77">
        <f>IFERROR(ORA_6/Equity_RAV_based_on_actual_gearing,0)</f>
        <v>0</v>
      </c>
      <c r="I52" s="407"/>
      <c r="J52" s="30">
        <f>IFERROR(AVERAGE(D79:INDEX(D79:H79,0,MATCH('RFPR cover'!$C$9,$D$6:$H$6,0)))/AVERAGE($D$91:INDEX($D$91:$H$91,0,MATCH('RFPR cover'!$C$9,$D$6:$H$6,0))),0)</f>
        <v>0</v>
      </c>
      <c r="K52" s="78">
        <f t="shared" si="16"/>
        <v>0</v>
      </c>
    </row>
    <row r="53" spans="1:12">
      <c r="A53" s="408" t="s">
        <v>498</v>
      </c>
      <c r="B53" s="200" t="str">
        <f t="shared" si="15"/>
        <v/>
      </c>
      <c r="C53" s="199" t="s">
        <v>484</v>
      </c>
      <c r="D53" s="77">
        <f>IFERROR(ORA_7/Equity_RAV_based_on_actual_gearing,0)</f>
        <v>0</v>
      </c>
      <c r="E53" s="77">
        <f>IFERROR(ORA_7/Equity_RAV_based_on_actual_gearing,0)</f>
        <v>0</v>
      </c>
      <c r="F53" s="77">
        <f>IFERROR(ORA_7/Equity_RAV_based_on_actual_gearing,0)</f>
        <v>0</v>
      </c>
      <c r="G53" s="77">
        <f>IFERROR(ORA_7/Equity_RAV_based_on_actual_gearing,0)</f>
        <v>0</v>
      </c>
      <c r="H53" s="77">
        <f>IFERROR(ORA_7/Equity_RAV_based_on_actual_gearing,0)</f>
        <v>0</v>
      </c>
      <c r="I53" s="407"/>
      <c r="J53" s="30">
        <f>IFERROR(AVERAGE(D80:INDEX(D80:H80,0,MATCH('RFPR cover'!$C$9,$D$6:$H$6,0)))/AVERAGE($D$91:INDEX($D$91:$H$91,0,MATCH('RFPR cover'!$C$9,$D$6:$H$6,0))),0)</f>
        <v>0</v>
      </c>
      <c r="K53" s="78">
        <f t="shared" si="16"/>
        <v>0</v>
      </c>
    </row>
    <row r="54" spans="1:12">
      <c r="A54" s="408" t="s">
        <v>499</v>
      </c>
      <c r="B54" s="200" t="str">
        <f t="shared" si="15"/>
        <v/>
      </c>
      <c r="C54" s="199" t="s">
        <v>484</v>
      </c>
      <c r="D54" s="77">
        <f>IFERROR(ORA_8/Equity_RAV_based_on_actual_gearing,0)</f>
        <v>0</v>
      </c>
      <c r="E54" s="77">
        <f>IFERROR(ORA_8/Equity_RAV_based_on_actual_gearing,0)</f>
        <v>0</v>
      </c>
      <c r="F54" s="77">
        <f>IFERROR(ORA_8/Equity_RAV_based_on_actual_gearing,0)</f>
        <v>0</v>
      </c>
      <c r="G54" s="77">
        <f>IFERROR(ORA_8/Equity_RAV_based_on_actual_gearing,0)</f>
        <v>0</v>
      </c>
      <c r="H54" s="77">
        <f>IFERROR(ORA_8/Equity_RAV_based_on_actual_gearing,0)</f>
        <v>0</v>
      </c>
      <c r="I54" s="407"/>
      <c r="J54" s="30">
        <f>IFERROR(AVERAGE(D81:INDEX(D81:H81,0,MATCH('RFPR cover'!$C$9,$D$6:$H$6,0)))/AVERAGE($D$91:INDEX($D$91:$H$91,0,MATCH('RFPR cover'!$C$9,$D$6:$H$6,0))),0)</f>
        <v>0</v>
      </c>
      <c r="K54" s="78">
        <f t="shared" si="16"/>
        <v>0</v>
      </c>
    </row>
    <row r="55" spans="1:12" ht="14" thickBot="1">
      <c r="B55" s="200" t="str">
        <f t="shared" ref="B55:B56" si="17">B82</f>
        <v>Penalties and fines (Other Activities)</v>
      </c>
      <c r="C55" s="199" t="s">
        <v>484</v>
      </c>
      <c r="D55" s="409">
        <f>IFERROR(Penalties_and_fines/Equity_RAV_based_on_actual_gearing,0)</f>
        <v>-9.1793835013466657E-4</v>
      </c>
      <c r="E55" s="409">
        <f>IFERROR(Penalties_and_fines/Equity_RAV_based_on_actual_gearing,0)</f>
        <v>-8.8301050721981643E-4</v>
      </c>
      <c r="F55" s="409">
        <f>IFERROR(Penalties_and_fines/Equity_RAV_based_on_actual_gearing,0)</f>
        <v>-1.4266477028264972E-3</v>
      </c>
      <c r="G55" s="409">
        <f>IFERROR(Penalties_and_fines/Equity_RAV_based_on_actual_gearing,0)</f>
        <v>0</v>
      </c>
      <c r="H55" s="409">
        <f>IFERROR(Penalties_and_fines/Equity_RAV_based_on_actual_gearing,0)</f>
        <v>0</v>
      </c>
      <c r="I55" s="407"/>
      <c r="J55" s="30">
        <f>IFERROR(AVERAGE(D82:INDEX(D82:H82,0,MATCH('RFPR cover'!$C$9,$D$6:$H$6,0)))/AVERAGE($D$91:INDEX($D$91:$H$91,0,MATCH('RFPR cover'!$C$9,$D$6:$H$6,0))),0)</f>
        <v>-1.0859981416797128E-3</v>
      </c>
      <c r="K55" s="78">
        <f t="shared" si="16"/>
        <v>-6.4991069147844359E-4</v>
      </c>
    </row>
    <row r="56" spans="1:12" ht="14" thickBot="1">
      <c r="B56" s="201" t="str">
        <f t="shared" si="17"/>
        <v>RoRE - Operational performance</v>
      </c>
      <c r="C56" s="71" t="s">
        <v>484</v>
      </c>
      <c r="D56" s="188">
        <f t="shared" ref="D56:H56" si="18">SUM(D38:D55)</f>
        <v>6.8439695481501583E-2</v>
      </c>
      <c r="E56" s="189">
        <f t="shared" si="18"/>
        <v>4.8272229950638547E-2</v>
      </c>
      <c r="F56" s="189">
        <f t="shared" si="18"/>
        <v>4.1962185224811953E-2</v>
      </c>
      <c r="G56" s="189">
        <f t="shared" si="18"/>
        <v>3.063452690573705E-2</v>
      </c>
      <c r="H56" s="190">
        <f t="shared" si="18"/>
        <v>4.8962119536313423E-2</v>
      </c>
      <c r="I56" s="410"/>
      <c r="J56" s="192">
        <f>SUM(J38:J55)</f>
        <v>5.2243556476233022E-2</v>
      </c>
      <c r="K56" s="190">
        <f>SUM(K38:K55)</f>
        <v>4.7199199490154803E-2</v>
      </c>
    </row>
    <row r="57" spans="1:12">
      <c r="B57" s="200" t="s">
        <v>501</v>
      </c>
      <c r="C57" s="199" t="s">
        <v>484</v>
      </c>
      <c r="D57" s="411">
        <f>IFERROR((Debt_performance___at_notional_gearing+Debt_performance___impact_of_actual_gearing)/Equity_RAV_based_on_actual_gearing,0)</f>
        <v>2.7930566823161654E-2</v>
      </c>
      <c r="E57" s="411">
        <f>IFERROR((Debt_performance___at_notional_gearing+Debt_performance___impact_of_actual_gearing)/Equity_RAV_based_on_actual_gearing,0)</f>
        <v>7.9268080636398189E-2</v>
      </c>
      <c r="F57" s="411">
        <f>IFERROR((Debt_performance___at_notional_gearing+Debt_performance___impact_of_actual_gearing)/Equity_RAV_based_on_actual_gearing,0)</f>
        <v>4.4482679429221274E-2</v>
      </c>
      <c r="G57" s="411">
        <f>IFERROR((Debt_performance___at_notional_gearing+Debt_performance___impact_of_actual_gearing)/Equity_RAV_based_on_actual_gearing,0)</f>
        <v>1.2038679416492377E-2</v>
      </c>
      <c r="H57" s="411">
        <f>IFERROR((Debt_performance___at_notional_gearing+Debt_performance___impact_of_actual_gearing)/Equity_RAV_based_on_actual_gearing,0)</f>
        <v>-1.2429855589669993E-2</v>
      </c>
      <c r="I57" s="407"/>
      <c r="J57" s="191">
        <f>IFERROR((AVERAGE(D84:INDEX(D84:H84,0,MATCH('RFPR cover'!$C$9,$D$6:$H$6,0)))+AVERAGE(D85:INDEX(D85:H85,0,MATCH('RFPR cover'!$C$9,$D$6:$H$6,0))))/AVERAGE($D$91:INDEX($D$91:$H$91,0,MATCH('RFPR cover'!$C$9,$D$6:$H$6,0))),0)</f>
        <v>5.1177562863630198E-2</v>
      </c>
      <c r="K57" s="191">
        <f>IFERROR((AVERAGE(D84:H84)+AVERAGE(D85:H85))/AVERAGE($D$91:$H$91),0)</f>
        <v>3.0611080354225509E-2</v>
      </c>
    </row>
    <row r="58" spans="1:12" ht="14" thickBot="1">
      <c r="B58" s="200" t="s">
        <v>502</v>
      </c>
      <c r="C58" s="199" t="s">
        <v>484</v>
      </c>
      <c r="D58" s="193">
        <f>IFERROR((Tax_performance___at_notional_gearing+Tax_performance___impact_of_actual_gearing)/D$91,0)</f>
        <v>6.4416563704761572E-3</v>
      </c>
      <c r="E58" s="193">
        <f>IFERROR((Tax_performance___at_notional_gearing+Tax_performance___impact_of_actual_gearing)/E$91,0)</f>
        <v>-6.7006288439421732E-3</v>
      </c>
      <c r="F58" s="193">
        <f>IFERROR((Tax_performance___at_notional_gearing+Tax_performance___impact_of_actual_gearing)/F$91,0)</f>
        <v>-1.0359861322882146E-2</v>
      </c>
      <c r="G58" s="193">
        <f>IFERROR((Tax_performance___at_notional_gearing+Tax_performance___impact_of_actual_gearing)/G$91,0)</f>
        <v>1.5848431885211206E-2</v>
      </c>
      <c r="H58" s="193">
        <f>IFERROR((Tax_performance___at_notional_gearing+Tax_performance___impact_of_actual_gearing)/H$91,0)</f>
        <v>6.3359732502128382E-3</v>
      </c>
      <c r="I58" s="407"/>
      <c r="J58" s="33">
        <f>IFERROR((AVERAGE(D86:INDEX(D86:H86,0,MATCH('RFPR cover'!$C$9,$D$6:$H$6,0)))+AVERAGE(D87:INDEX(D87:H87,0,MATCH('RFPR cover'!$C$9,$D$6:$H$6,0))))/AVERAGE($D$91:INDEX($D$91:$H$91,0,MATCH('RFPR cover'!$C$9,$D$6:$H$6,0))),0)</f>
        <v>-3.9525756866622469E-3</v>
      </c>
      <c r="K58" s="33">
        <f>IFERROR((AVERAGE(D86:H86)+AVERAGE(D87:H87))/AVERAGE($D$91:$H$91),0)</f>
        <v>2.1130741370058324E-3</v>
      </c>
    </row>
    <row r="59" spans="1:12" ht="14" thickBot="1">
      <c r="B59" s="201" t="str">
        <f>B88</f>
        <v>RoRE - including financing and tax</v>
      </c>
      <c r="C59" s="71" t="s">
        <v>484</v>
      </c>
      <c r="D59" s="188">
        <f>SUM(D56:D58)</f>
        <v>0.10281191867513939</v>
      </c>
      <c r="E59" s="189">
        <f t="shared" ref="E59:H59" si="19">SUM(E56:E58)</f>
        <v>0.12083968174309456</v>
      </c>
      <c r="F59" s="189">
        <f t="shared" si="19"/>
        <v>7.6085003331151077E-2</v>
      </c>
      <c r="G59" s="189">
        <f t="shared" si="19"/>
        <v>5.8521638207440635E-2</v>
      </c>
      <c r="H59" s="190">
        <f t="shared" si="19"/>
        <v>4.2868237196856264E-2</v>
      </c>
      <c r="I59" s="410"/>
      <c r="J59" s="192">
        <f>SUM(J56:J58)</f>
        <v>9.9468543653200986E-2</v>
      </c>
      <c r="K59" s="190">
        <f>SUM(K56:K58)</f>
        <v>7.9923353981386142E-2</v>
      </c>
    </row>
    <row r="60" spans="1:12">
      <c r="B60" s="70"/>
      <c r="C60" s="71"/>
      <c r="D60" s="72"/>
      <c r="E60" s="72"/>
      <c r="F60" s="72"/>
      <c r="G60" s="72"/>
      <c r="H60" s="72"/>
      <c r="I60" s="410"/>
      <c r="J60" s="72"/>
      <c r="K60" s="72"/>
    </row>
    <row r="61" spans="1:12">
      <c r="B61" s="70"/>
      <c r="C61" s="71"/>
      <c r="D61" s="72"/>
      <c r="E61" s="72"/>
      <c r="F61" s="72"/>
      <c r="G61" s="72"/>
      <c r="H61" s="72"/>
      <c r="I61" s="410"/>
      <c r="J61" s="72"/>
      <c r="K61" s="72"/>
    </row>
    <row r="62" spans="1:12">
      <c r="B62" s="81" t="s">
        <v>503</v>
      </c>
      <c r="C62" s="82"/>
      <c r="D62" s="83"/>
      <c r="E62" s="83"/>
      <c r="F62" s="83"/>
      <c r="G62" s="83"/>
      <c r="H62" s="83"/>
      <c r="I62" s="413"/>
      <c r="J62" s="83"/>
      <c r="K62" s="83"/>
      <c r="L62" s="38"/>
    </row>
    <row r="63" spans="1:12">
      <c r="B63" s="85" t="str">
        <f>"Input values provided in "&amp;Data!C9&amp;" prices"</f>
        <v>Input values provided in £m 18/19 prices</v>
      </c>
      <c r="C63" s="84"/>
      <c r="D63" s="84"/>
      <c r="E63" s="84"/>
      <c r="F63" s="84"/>
      <c r="G63" s="84"/>
      <c r="H63" s="84"/>
      <c r="I63" s="84"/>
      <c r="J63" s="84"/>
      <c r="K63" s="84"/>
      <c r="L63" s="84"/>
    </row>
    <row r="65" spans="1:12">
      <c r="B65" s="414" t="s">
        <v>504</v>
      </c>
      <c r="C65" s="415" t="str">
        <f>Data!$C$9</f>
        <v>£m 18/19</v>
      </c>
      <c r="D65" s="31">
        <f>'R7 - RAV'!F44</f>
        <v>69.22163957766891</v>
      </c>
      <c r="E65" s="32">
        <f>'R7 - RAV'!G44</f>
        <v>70.0030841099166</v>
      </c>
      <c r="F65" s="32">
        <f>'R7 - RAV'!H44</f>
        <v>81.314875314250372</v>
      </c>
      <c r="G65" s="32">
        <f>'R7 - RAV'!I44</f>
        <v>86.67450645218355</v>
      </c>
      <c r="H65" s="32">
        <f>'R7 - RAV'!J44</f>
        <v>86.606794212705111</v>
      </c>
      <c r="I65" s="34"/>
      <c r="J65" s="18">
        <f>SUM(D65:INDEX(D65:H65,0,MATCH('RFPR cover'!$C$9,$D$6:$H$6,0)))</f>
        <v>220.53959900183588</v>
      </c>
      <c r="K65" s="18">
        <f t="shared" ref="K65:K82" si="20">SUM(D65:H65)</f>
        <v>393.82089966672453</v>
      </c>
      <c r="L65" s="34"/>
    </row>
    <row r="66" spans="1:12">
      <c r="B66" s="414" t="s">
        <v>505</v>
      </c>
      <c r="C66" s="415" t="str">
        <f>Data!$C$9</f>
        <v>£m 18/19</v>
      </c>
      <c r="D66" s="46">
        <f>'R3 - Totex - Reconciliation'!D102</f>
        <v>8.8360509418966391</v>
      </c>
      <c r="E66" s="46">
        <f>'R3 - Totex - Reconciliation'!E102</f>
        <v>-8.4314232698220728</v>
      </c>
      <c r="F66" s="46">
        <f>'R3 - Totex - Reconciliation'!F102</f>
        <v>-24.194171489424534</v>
      </c>
      <c r="G66" s="46">
        <f>'R3 - Totex - Reconciliation'!G102</f>
        <v>-47.626004768772333</v>
      </c>
      <c r="H66" s="46">
        <f>'R3 - Totex - Reconciliation'!H102</f>
        <v>-25.768338007184994</v>
      </c>
      <c r="I66" s="34"/>
      <c r="J66" s="18">
        <f>SUM(D66:INDEX(D66:H66,0,MATCH('RFPR cover'!$C$9,$D$6:$H$6,0)))</f>
        <v>-23.789543817349966</v>
      </c>
      <c r="K66" s="18">
        <f t="shared" si="20"/>
        <v>-97.183886593307292</v>
      </c>
      <c r="L66" s="34"/>
    </row>
    <row r="67" spans="1:12">
      <c r="A67" s="408" t="s">
        <v>485</v>
      </c>
      <c r="B67" s="414" t="s">
        <v>506</v>
      </c>
      <c r="C67" s="415" t="str">
        <f>Data!$C$9</f>
        <v>£m 18/19</v>
      </c>
      <c r="D67" s="43">
        <f>'R4 - Incentives and Other Rev'!D12</f>
        <v>0</v>
      </c>
      <c r="E67" s="43">
        <f>'R4 - Incentives and Other Rev'!E12</f>
        <v>0</v>
      </c>
      <c r="F67" s="43">
        <f>'R4 - Incentives and Other Rev'!F12</f>
        <v>0</v>
      </c>
      <c r="G67" s="43">
        <f>'R4 - Incentives and Other Rev'!G12</f>
        <v>0</v>
      </c>
      <c r="H67" s="43">
        <f>'R4 - Incentives and Other Rev'!H12</f>
        <v>0</v>
      </c>
      <c r="I67" s="34"/>
      <c r="J67" s="18">
        <f>SUM(D67:INDEX(D67:H67,0,MATCH('RFPR cover'!$C$9,$D$6:$H$6,0)))</f>
        <v>0</v>
      </c>
      <c r="K67" s="18">
        <f t="shared" si="20"/>
        <v>0</v>
      </c>
      <c r="L67" s="34"/>
    </row>
    <row r="68" spans="1:12">
      <c r="A68" s="408" t="s">
        <v>486</v>
      </c>
      <c r="B68" s="277" t="str">
        <f>'R4 - Incentives and Other Rev'!B14</f>
        <v>Customer Satisfaction Survey ODI - (SpC 4.2)</v>
      </c>
      <c r="C68" s="415" t="str">
        <f>Data!$C$9</f>
        <v>£m 18/19</v>
      </c>
      <c r="D68" s="43">
        <f>'R4 - Incentives and Other Rev'!D14</f>
        <v>0.93256499999999998</v>
      </c>
      <c r="E68" s="43">
        <f>'R4 - Incentives and Other Rev'!E14</f>
        <v>0.58487199999999995</v>
      </c>
      <c r="F68" s="43">
        <f>'R4 - Incentives and Other Rev'!F14</f>
        <v>2.2365720303680896</v>
      </c>
      <c r="G68" s="43">
        <f>'R4 - Incentives and Other Rev'!G14</f>
        <v>0</v>
      </c>
      <c r="H68" s="43">
        <f>'R4 - Incentives and Other Rev'!H14</f>
        <v>0</v>
      </c>
      <c r="I68" s="416"/>
      <c r="J68" s="18">
        <f>SUM(D68:INDEX(D68:H68,0,MATCH('RFPR cover'!$C$9,$D$6:$H$6,0)))</f>
        <v>3.7540090303680893</v>
      </c>
      <c r="K68" s="18">
        <f t="shared" si="20"/>
        <v>3.7540090303680893</v>
      </c>
      <c r="L68" s="34"/>
    </row>
    <row r="69" spans="1:12">
      <c r="A69" s="408" t="s">
        <v>487</v>
      </c>
      <c r="B69" s="277" t="str">
        <f>'R4 - Incentives and Other Rev'!B15</f>
        <v>Complaints metric ODI - (SpC 4.3)</v>
      </c>
      <c r="C69" s="415"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416"/>
      <c r="J69" s="18">
        <f>SUM(D69:INDEX(D69:H69,0,MATCH('RFPR cover'!$C$9,$D$6:$H$6,0)))</f>
        <v>0</v>
      </c>
      <c r="K69" s="18">
        <f t="shared" si="20"/>
        <v>0</v>
      </c>
      <c r="L69" s="34"/>
    </row>
    <row r="70" spans="1:12">
      <c r="A70" s="408" t="s">
        <v>488</v>
      </c>
      <c r="B70" s="277" t="str">
        <f>'R4 - Incentives and Other Rev'!B16</f>
        <v>Unplanned Interruption Mean Duration ODI [NGN, SGN and WWU] - (SpC 4.5)</v>
      </c>
      <c r="C70" s="415" t="str">
        <f>Data!$C$9</f>
        <v>£m 18/19</v>
      </c>
      <c r="D70" s="43">
        <f>'R4 - Incentives and Other Rev'!D16</f>
        <v>0</v>
      </c>
      <c r="E70" s="43">
        <f>'R4 - Incentives and Other Rev'!E16</f>
        <v>0</v>
      </c>
      <c r="F70" s="43">
        <f>'R4 - Incentives and Other Rev'!F16</f>
        <v>-3.0550000000000002</v>
      </c>
      <c r="G70" s="43">
        <f>'R4 - Incentives and Other Rev'!G16</f>
        <v>0</v>
      </c>
      <c r="H70" s="43">
        <f>'R4 - Incentives and Other Rev'!H16</f>
        <v>0</v>
      </c>
      <c r="I70" s="416"/>
      <c r="J70" s="18">
        <f>SUM(D70:INDEX(D70:H70,0,MATCH('RFPR cover'!$C$9,$D$6:$H$6,0)))</f>
        <v>-3.0550000000000002</v>
      </c>
      <c r="K70" s="18">
        <f t="shared" si="20"/>
        <v>-3.0550000000000002</v>
      </c>
      <c r="L70" s="34"/>
    </row>
    <row r="71" spans="1:12">
      <c r="A71" s="408" t="s">
        <v>489</v>
      </c>
      <c r="B71" s="277" t="str">
        <f>'R4 - Incentives and Other Rev'!B17</f>
        <v>Unplanned Interruption Mean Duration ODI [Cadent only]- (SpC 4.6)</v>
      </c>
      <c r="C71" s="415"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416"/>
      <c r="J71" s="18">
        <f>SUM(D71:INDEX(D71:H71,0,MATCH('RFPR cover'!$C$9,$D$6:$H$6,0)))</f>
        <v>0</v>
      </c>
      <c r="K71" s="18">
        <f t="shared" si="20"/>
        <v>0</v>
      </c>
      <c r="L71" s="34"/>
    </row>
    <row r="72" spans="1:12">
      <c r="A72" s="408" t="s">
        <v>490</v>
      </c>
      <c r="B72" s="277" t="str">
        <f>'R4 - Incentives and Other Rev'!B18</f>
        <v>Shrinkage Management ODI- (SpC 4.4)</v>
      </c>
      <c r="C72" s="415" t="str">
        <f>Data!$C$9</f>
        <v>£m 18/19</v>
      </c>
      <c r="D72" s="43">
        <f>'R4 - Incentives and Other Rev'!D18</f>
        <v>0.28713899999999998</v>
      </c>
      <c r="E72" s="43">
        <f>'R4 - Incentives and Other Rev'!E18</f>
        <v>0.207394</v>
      </c>
      <c r="F72" s="43">
        <f>'R4 - Incentives and Other Rev'!F18</f>
        <v>0.32168651228451878</v>
      </c>
      <c r="G72" s="43">
        <f>'R4 - Incentives and Other Rev'!G18</f>
        <v>0</v>
      </c>
      <c r="H72" s="43">
        <f>'R4 - Incentives and Other Rev'!H18</f>
        <v>0</v>
      </c>
      <c r="I72" s="416"/>
      <c r="J72" s="18">
        <f>SUM(D72:INDEX(D72:H72,0,MATCH('RFPR cover'!$C$9,$D$6:$H$6,0)))</f>
        <v>0.81621951228451883</v>
      </c>
      <c r="K72" s="18">
        <f t="shared" si="20"/>
        <v>0.81621951228451883</v>
      </c>
      <c r="L72" s="34"/>
    </row>
    <row r="73" spans="1:12">
      <c r="A73" s="1313" t="s">
        <v>491</v>
      </c>
      <c r="B73" s="277" t="str">
        <f>'R4 - Incentives and Other Rev'!B19</f>
        <v>Collaborative streetworks ODI [Cadent Lon &amp; EoE, SGN So only]- (SpC 4.7)</v>
      </c>
      <c r="C73" s="415" t="str">
        <f>Data!$C$9</f>
        <v>£m 18/19</v>
      </c>
      <c r="D73" s="43">
        <f>'R4 - Incentives and Other Rev'!D19</f>
        <v>0.91500000000000004</v>
      </c>
      <c r="E73" s="43">
        <f>'R4 - Incentives and Other Rev'!E19</f>
        <v>1.5249999999999999</v>
      </c>
      <c r="F73" s="43">
        <f>'R4 - Incentives and Other Rev'!F19</f>
        <v>1.22</v>
      </c>
      <c r="G73" s="43">
        <f>'R4 - Incentives and Other Rev'!G19</f>
        <v>0</v>
      </c>
      <c r="H73" s="43">
        <f>'R4 - Incentives and Other Rev'!H19</f>
        <v>0</v>
      </c>
      <c r="I73" s="416"/>
      <c r="J73" s="18">
        <f>SUM(D73:INDEX(D73:H73,0,MATCH('RFPR cover'!$C$9,$D$6:$H$6,0)))</f>
        <v>3.66</v>
      </c>
      <c r="K73" s="18">
        <f t="shared" ref="K73:K76" si="21">SUM(D73:H73)</f>
        <v>3.66</v>
      </c>
      <c r="L73" s="34"/>
    </row>
    <row r="74" spans="1:12">
      <c r="A74" s="408" t="s">
        <v>492</v>
      </c>
      <c r="B74" s="277" t="str">
        <f>'R4 - Incentives and Other Rev'!B45</f>
        <v>Network innovation input for RORE</v>
      </c>
      <c r="C74" s="415" t="str">
        <f>Data!$C$9</f>
        <v>£m 18/19</v>
      </c>
      <c r="D74" s="43">
        <f>-'R4 - Incentives and Other Rev'!D45</f>
        <v>-0.15670899999999999</v>
      </c>
      <c r="E74" s="43">
        <f>-'R4 - Incentives and Other Rev'!E45</f>
        <v>-0.213698</v>
      </c>
      <c r="F74" s="43">
        <f>-'R4 - Incentives and Other Rev'!F45</f>
        <v>-0.28337171483012469</v>
      </c>
      <c r="G74" s="43">
        <f>-'R4 - Incentives and Other Rev'!G45</f>
        <v>0</v>
      </c>
      <c r="H74" s="43">
        <f>-'R4 - Incentives and Other Rev'!H45</f>
        <v>0</v>
      </c>
      <c r="I74" s="34"/>
      <c r="J74" s="18">
        <f>SUM(D74:INDEX(D74:H74,0,MATCH('RFPR cover'!$C$9,$D$6:$H$6,0)))</f>
        <v>-0.65377871483012462</v>
      </c>
      <c r="K74" s="18">
        <f t="shared" si="21"/>
        <v>-0.65377871483012462</v>
      </c>
      <c r="L74" s="34"/>
    </row>
    <row r="75" spans="1:12">
      <c r="A75" s="408" t="s">
        <v>493</v>
      </c>
      <c r="B75" s="277" t="str">
        <f>'R4 - Incentives and Other Rev'!B52</f>
        <v>Carry-over Network innovation input for RORE</v>
      </c>
      <c r="C75" s="415" t="str">
        <f>Data!$C$9</f>
        <v>£m 18/19</v>
      </c>
      <c r="D75" s="43">
        <f>-'R4 - Incentives and Other Rev'!D52</f>
        <v>-1.0437999999999999E-2</v>
      </c>
      <c r="E75" s="43">
        <f>-'R4 - Incentives and Other Rev'!E52</f>
        <v>0</v>
      </c>
      <c r="F75" s="43">
        <f>-'R4 - Incentives and Other Rev'!F52</f>
        <v>0</v>
      </c>
      <c r="G75" s="43">
        <f>-'R4 - Incentives and Other Rev'!G52</f>
        <v>0</v>
      </c>
      <c r="H75" s="43">
        <f>-'R4 - Incentives and Other Rev'!H52</f>
        <v>0</v>
      </c>
      <c r="I75" s="34"/>
      <c r="J75" s="18">
        <f>SUM(D75:INDEX(D75:H75,0,MATCH('RFPR cover'!$C$9,$D$6:$H$6,0)))</f>
        <v>-1.0437999999999999E-2</v>
      </c>
      <c r="K75" s="18">
        <f t="shared" si="21"/>
        <v>-1.0437999999999999E-2</v>
      </c>
      <c r="L75" s="34"/>
    </row>
    <row r="76" spans="1:12">
      <c r="A76" s="408" t="s">
        <v>494</v>
      </c>
      <c r="B76" s="277" t="str">
        <f>'R4 - Incentives and Other Rev'!B59</f>
        <v>Strategic innovation input for RORE</v>
      </c>
      <c r="C76" s="415"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408" t="s">
        <v>495</v>
      </c>
      <c r="B77" s="277" t="str">
        <f>'R4 - Incentives and Other Rev'!B66</f>
        <v/>
      </c>
      <c r="C77" s="415" t="str">
        <f>Data!$C$9</f>
        <v>£m 18/19</v>
      </c>
      <c r="D77" s="44">
        <f>'R4 - Incentives and Other Rev'!D66</f>
        <v>0</v>
      </c>
      <c r="E77" s="44">
        <f>'R4 - Incentives and Other Rev'!E66</f>
        <v>-1.1970730000000001</v>
      </c>
      <c r="F77" s="44">
        <f>'R4 - Incentives and Other Rev'!F66</f>
        <v>0</v>
      </c>
      <c r="G77" s="44">
        <f>'R4 - Incentives and Other Rev'!G66</f>
        <v>0</v>
      </c>
      <c r="H77" s="44">
        <f>'R4 - Incentives and Other Rev'!H66</f>
        <v>0</v>
      </c>
      <c r="I77" s="34"/>
      <c r="J77" s="18">
        <f>SUM(D77:INDEX(D77:H77,0,MATCH('RFPR cover'!$C$9,$D$6:$H$6,0)))</f>
        <v>-1.1970730000000001</v>
      </c>
      <c r="K77" s="18">
        <f t="shared" si="20"/>
        <v>-1.1970730000000001</v>
      </c>
      <c r="L77" s="34"/>
    </row>
    <row r="78" spans="1:12">
      <c r="A78" s="408" t="s">
        <v>496</v>
      </c>
      <c r="B78" s="277" t="str">
        <f>'R4 - Incentives and Other Rev'!B67</f>
        <v/>
      </c>
      <c r="C78" s="415" t="str">
        <f>Data!$C$9</f>
        <v>£m 18/19</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408" t="s">
        <v>497</v>
      </c>
      <c r="B79" s="277" t="str">
        <f>'R4 - Incentives and Other Rev'!B68</f>
        <v/>
      </c>
      <c r="C79" s="415"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408" t="s">
        <v>498</v>
      </c>
      <c r="B80" s="277" t="str">
        <f>'R4 - Incentives and Other Rev'!B69</f>
        <v/>
      </c>
      <c r="C80" s="415"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408" t="s">
        <v>499</v>
      </c>
      <c r="B81" s="277" t="str">
        <f>'R4 - Incentives and Other Rev'!B70</f>
        <v/>
      </c>
      <c r="C81" s="415"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414" t="s">
        <v>507</v>
      </c>
      <c r="C82" s="415" t="str">
        <f>Data!$C$9</f>
        <v>£m 18/19</v>
      </c>
      <c r="D82" s="44">
        <f>-'R10 - Pensions &amp; Oth Activities'!D54</f>
        <v>-1.0591226894439076</v>
      </c>
      <c r="E82" s="44">
        <f>-'R10 - Pensions &amp; Oth Activities'!E54</f>
        <v>-1.122339501641088</v>
      </c>
      <c r="F82" s="44">
        <f>-'R10 - Pensions &amp; Oth Activities'!F54</f>
        <v>-1.8926225686892795</v>
      </c>
      <c r="G82" s="44">
        <f>-'R10 - Pensions &amp; Oth Activities'!G54</f>
        <v>0</v>
      </c>
      <c r="H82" s="44">
        <f>-'R10 - Pensions &amp; Oth Activities'!H54</f>
        <v>0</v>
      </c>
      <c r="I82" s="34"/>
      <c r="J82" s="176">
        <f>SUM(D82:INDEX(D82:H82,0,MATCH('RFPR cover'!$C$9,$D$6:$H$6,0)))</f>
        <v>-4.0740847597742746</v>
      </c>
      <c r="K82" s="176">
        <f t="shared" si="20"/>
        <v>-4.0740847597742746</v>
      </c>
      <c r="L82" s="34"/>
    </row>
    <row r="83" spans="1:23" ht="14" thickBot="1">
      <c r="B83" s="417" t="s">
        <v>508</v>
      </c>
      <c r="C83" s="418" t="str">
        <f>Data!$C$9</f>
        <v>£m 18/19</v>
      </c>
      <c r="D83" s="184">
        <f>SUM(D65:D82)</f>
        <v>78.966124830121643</v>
      </c>
      <c r="E83" s="186">
        <f>SUM(E65:E82)</f>
        <v>61.35581633845343</v>
      </c>
      <c r="F83" s="186">
        <f>SUM(F65:F82)</f>
        <v>55.667968083959046</v>
      </c>
      <c r="G83" s="186">
        <f>SUM(G65:G82)</f>
        <v>39.048501683411217</v>
      </c>
      <c r="H83" s="185">
        <f>SUM(H65:H82)</f>
        <v>60.838456205520117</v>
      </c>
      <c r="I83" s="95"/>
      <c r="J83" s="184">
        <f>SUM(J65:J82)</f>
        <v>195.98990925253412</v>
      </c>
      <c r="K83" s="185">
        <f>SUM(K65:K82)</f>
        <v>295.87686714146542</v>
      </c>
      <c r="L83" s="34"/>
    </row>
    <row r="84" spans="1:23">
      <c r="B84" s="414" t="s">
        <v>509</v>
      </c>
      <c r="C84" s="415" t="str">
        <f>Data!$C$9</f>
        <v>£m 18/19</v>
      </c>
      <c r="D84" s="44">
        <f>IFERROR('R5 - Financing'!D85,0)</f>
        <v>34.330150025976124</v>
      </c>
      <c r="E84" s="44">
        <f>IFERROR('R5 - Financing'!E85,0)</f>
        <v>94.873029162460128</v>
      </c>
      <c r="F84" s="44">
        <f>IFERROR('R5 - Financing'!F85,0)</f>
        <v>57.774099444462792</v>
      </c>
      <c r="G84" s="44">
        <f>IFERROR('R5 - Financing'!G85,0)</f>
        <v>18.930464030599897</v>
      </c>
      <c r="H84" s="44">
        <f>IFERROR('R5 - Financing'!H85,0)</f>
        <v>-6.9839975311314513</v>
      </c>
      <c r="I84" s="34"/>
      <c r="J84" s="183">
        <f>SUM(D84:INDEX(D84:H84,0,MATCH('RFPR cover'!$C$9,$D$6:$H$6,0)))</f>
        <v>186.97727863289904</v>
      </c>
      <c r="K84" s="183">
        <f>SUM(D84:H84)</f>
        <v>198.92374513236749</v>
      </c>
      <c r="L84" s="34"/>
    </row>
    <row r="85" spans="1:23">
      <c r="B85" s="414" t="s">
        <v>510</v>
      </c>
      <c r="C85" s="415" t="str">
        <f>Data!$C$9</f>
        <v>£m 18/19</v>
      </c>
      <c r="D85" s="44">
        <f>IFERROR('R5 - Financing'!D87,0)</f>
        <v>-2.103697076167542</v>
      </c>
      <c r="E85" s="44">
        <f>IFERROR('R5 - Financing'!E87,0)</f>
        <v>5.8796769379596014</v>
      </c>
      <c r="F85" s="44">
        <f>IFERROR('R5 - Financing'!F87,0)</f>
        <v>1.2376123023953198</v>
      </c>
      <c r="G85" s="44">
        <f>IFERROR('R5 - Financing'!G87,0)</f>
        <v>-3.5852819454502676</v>
      </c>
      <c r="H85" s="44">
        <f>IFERROR('R5 - Financing'!H87,0)</f>
        <v>-8.4608653974887353</v>
      </c>
      <c r="I85" s="34"/>
      <c r="J85" s="18">
        <f>SUM(D85:INDEX(D85:H85,0,MATCH('RFPR cover'!$C$9,$D$6:$H$6,0)))</f>
        <v>5.0135921641873793</v>
      </c>
      <c r="K85" s="18">
        <f>SUM(D85:H85)</f>
        <v>-7.0325551787516236</v>
      </c>
      <c r="L85" s="34"/>
    </row>
    <row r="86" spans="1:23">
      <c r="B86" s="414" t="s">
        <v>511</v>
      </c>
      <c r="C86" s="415" t="str">
        <f>Data!$C$9</f>
        <v>£m 18/19</v>
      </c>
      <c r="D86" s="44">
        <f>IFERROR('R8 - Tax'!E62,0)</f>
        <v>7.0327187182035118</v>
      </c>
      <c r="E86" s="44">
        <f>IFERROR('R8 - Tax'!F62,0)</f>
        <v>-7.3996121745614634</v>
      </c>
      <c r="F86" s="44">
        <f>IFERROR('R8 - Tax'!G62,0)</f>
        <v>-13.434219340314794</v>
      </c>
      <c r="G86" s="44">
        <f>IFERROR('R8 - Tax'!H62,0)</f>
        <v>19.304987699441401</v>
      </c>
      <c r="H86" s="44">
        <f>IFERROR('R8 - Tax'!I62,0)</f>
        <v>5.7576215659989245</v>
      </c>
      <c r="I86" s="34"/>
      <c r="J86" s="18">
        <f>SUM(D86:INDEX(D86:H86,0,MATCH('RFPR cover'!$C$9,$D$6:$H$6,0)))</f>
        <v>-13.801112796672745</v>
      </c>
      <c r="K86" s="18">
        <f>SUM(D86:H86)</f>
        <v>11.26149646876758</v>
      </c>
      <c r="L86" s="34"/>
    </row>
    <row r="87" spans="1:23" ht="14" thickBot="1">
      <c r="B87" s="414" t="s">
        <v>512</v>
      </c>
      <c r="C87" s="415" t="str">
        <f>Data!$C$9</f>
        <v>£m 18/19</v>
      </c>
      <c r="D87" s="44">
        <f>IFERROR('R8 - Tax'!E64,0)</f>
        <v>0.39970244447183489</v>
      </c>
      <c r="E87" s="44">
        <f>IFERROR('R8 - Tax'!F64,0)</f>
        <v>-1.1171386182123264</v>
      </c>
      <c r="F87" s="44">
        <f>IFERROR('R8 - Tax'!G64,0)</f>
        <v>-0.30940307559882996</v>
      </c>
      <c r="G87" s="44">
        <f>IFERROR('R8 - Tax'!H64,0)</f>
        <v>0.89632048636256556</v>
      </c>
      <c r="H87" s="44">
        <f>IFERROR('R8 - Tax'!I64,0)</f>
        <v>2.1152163493721829</v>
      </c>
      <c r="I87" s="34"/>
      <c r="J87" s="176">
        <f>SUM(D87:INDEX(D87:H87,0,MATCH('RFPR cover'!$C$9,$D$6:$H$6,0)))</f>
        <v>-1.0268392493393215</v>
      </c>
      <c r="K87" s="176">
        <f>SUM(D87:H87)</f>
        <v>1.984697586395427</v>
      </c>
      <c r="L87" s="34"/>
    </row>
    <row r="88" spans="1:23" ht="14" thickBot="1">
      <c r="B88" s="417" t="s">
        <v>513</v>
      </c>
      <c r="C88" s="418" t="str">
        <f>Data!$C$9</f>
        <v>£m 18/19</v>
      </c>
      <c r="D88" s="269">
        <f>IF(OR(Licensee=Data!$B$86,Licensee=Data!$B$89),"N/A",SUM(D83:D87))</f>
        <v>118.62499894260557</v>
      </c>
      <c r="E88" s="269">
        <f>IF(OR(Licensee=Data!$B$86,Licensee=Data!$B$89),"N/A",SUM(E83:E87))</f>
        <v>153.59177164609937</v>
      </c>
      <c r="F88" s="269">
        <f>IF(OR(Licensee=Data!$B$86,Licensee=Data!$B$89),"N/A",SUM(F83:F87))</f>
        <v>100.93605741490353</v>
      </c>
      <c r="G88" s="269">
        <f>IF(OR(Licensee=Data!$B$86,Licensee=Data!$B$89),"N/A",SUM(G83:G87))</f>
        <v>74.594991954364815</v>
      </c>
      <c r="H88" s="269">
        <f>IF(OR(Licensee=Data!$B$86,Licensee=Data!$B$89),"N/A",SUM(H83:H87))</f>
        <v>53.266431192271043</v>
      </c>
      <c r="I88" s="95"/>
      <c r="J88" s="184">
        <f>SUM(J83:J87)</f>
        <v>373.15282800360853</v>
      </c>
      <c r="K88" s="185">
        <f>SUM(K83:K87)</f>
        <v>501.01425115024432</v>
      </c>
      <c r="L88" s="34"/>
    </row>
    <row r="89" spans="1:23">
      <c r="D89" s="187"/>
      <c r="I89" s="34"/>
      <c r="L89" s="34"/>
    </row>
    <row r="90" spans="1:23">
      <c r="B90" s="419" t="s">
        <v>514</v>
      </c>
      <c r="C90" s="415" t="str">
        <f>Data!$C$9</f>
        <v>£m 18/19</v>
      </c>
      <c r="D90" s="42">
        <f>'R7 - RAV'!F40</f>
        <v>1532.0663515020301</v>
      </c>
      <c r="E90" s="32">
        <f>'R7 - RAV'!G40</f>
        <v>1536.2298719667319</v>
      </c>
      <c r="F90" s="32">
        <f>'R7 - RAV'!H40</f>
        <v>1539.0650244519013</v>
      </c>
      <c r="G90" s="32">
        <f>'R7 - RAV'!I40</f>
        <v>1551.2088769309694</v>
      </c>
      <c r="H90" s="32">
        <f>'R7 - RAV'!J40</f>
        <v>1569.6624189733072</v>
      </c>
      <c r="I90" s="34"/>
      <c r="L90" s="34"/>
    </row>
    <row r="91" spans="1:23">
      <c r="B91" s="414" t="s">
        <v>515</v>
      </c>
      <c r="C91" s="415" t="str">
        <f>Data!$C$9</f>
        <v>£m 18/19</v>
      </c>
      <c r="D91" s="45">
        <f>IFERROR('R6 - Net Debt'!D73,0)</f>
        <v>1153.8059056891223</v>
      </c>
      <c r="E91" s="45">
        <f>IFERROR('R6 - Net Debt'!E73,0)</f>
        <v>1271.037538584683</v>
      </c>
      <c r="F91" s="45">
        <f>IFERROR('R6 - Net Debt'!F73,0)</f>
        <v>1326.6222382299327</v>
      </c>
      <c r="G91" s="45">
        <f>IFERROR('R6 - Net Debt'!G73,0)</f>
        <v>1274.6565926597823</v>
      </c>
      <c r="H91" s="45">
        <f>IFERROR('R6 - Net Debt'!H73,0)</f>
        <v>1242.5617351062274</v>
      </c>
      <c r="I91" s="34"/>
      <c r="L91" s="34"/>
    </row>
    <row r="92" spans="1:23">
      <c r="L92" s="34"/>
    </row>
    <row r="93" spans="1:23">
      <c r="L93" s="34"/>
    </row>
    <row r="94" spans="1:23">
      <c r="L94" s="34"/>
      <c r="S94" s="136"/>
      <c r="T94" s="136"/>
      <c r="U94" s="136"/>
      <c r="V94" s="136"/>
      <c r="W94" s="136"/>
    </row>
    <row r="95" spans="1:23">
      <c r="S95" s="136"/>
      <c r="T95" s="136"/>
      <c r="U95" s="136"/>
      <c r="V95" s="136"/>
      <c r="W95" s="136"/>
    </row>
    <row r="99" spans="13:17">
      <c r="M99" s="136"/>
      <c r="N99" s="136"/>
      <c r="O99" s="136"/>
      <c r="P99" s="136"/>
      <c r="Q99" s="136"/>
    </row>
    <row r="101" spans="13:17">
      <c r="M101" s="136"/>
      <c r="N101" s="136"/>
      <c r="O101" s="136"/>
      <c r="P101" s="136"/>
      <c r="Q101" s="136"/>
    </row>
  </sheetData>
  <sheetProtection sort="0" autoFilter="0" pivotTables="0"/>
  <phoneticPr fontId="261" type="noConversion"/>
  <conditionalFormatting sqref="D6:G6">
    <cfRule type="expression" dxfId="123" priority="8">
      <formula>AND(D$5="Actuals",E$5="Forecast")</formula>
    </cfRule>
  </conditionalFormatting>
  <conditionalFormatting sqref="D7:H7">
    <cfRule type="expression" dxfId="122" priority="2">
      <formula>AND(D$5="Actuals",E$5="Forecast")</formula>
    </cfRule>
  </conditionalFormatting>
  <conditionalFormatting sqref="H6">
    <cfRule type="expression" dxfId="121"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heetViews>
  <sheetFormatPr defaultColWidth="9" defaultRowHeight="13.5" outlineLevelCol="1"/>
  <cols>
    <col min="1" max="1" width="0.765625" style="136" customWidth="1"/>
    <col min="2" max="2" width="54.84375" style="94" customWidth="1"/>
    <col min="3" max="3" width="37.15234375" style="94" customWidth="1"/>
    <col min="4" max="4" width="14.4609375" style="29" customWidth="1"/>
    <col min="5" max="5" width="10.3828125" style="136" customWidth="1"/>
    <col min="6" max="9" width="11.15234375" style="136" customWidth="1"/>
    <col min="10" max="10" width="5" style="136" customWidth="1"/>
    <col min="11" max="20" width="9.23046875" style="136" customWidth="1" outlineLevel="1"/>
    <col min="21" max="16384" width="9" style="136"/>
  </cols>
  <sheetData>
    <row r="1" spans="1:14" ht="20">
      <c r="A1" s="362" t="s">
        <v>516</v>
      </c>
      <c r="B1" s="420"/>
      <c r="C1" s="420"/>
      <c r="D1" s="421"/>
      <c r="E1" s="422"/>
      <c r="F1" s="422"/>
      <c r="G1" s="422"/>
      <c r="H1" s="422"/>
      <c r="I1" s="422"/>
      <c r="J1" s="423"/>
    </row>
    <row r="2" spans="1:14" ht="20">
      <c r="A2" s="367" t="str">
        <f t="shared" ref="A2" si="0">Licensee</f>
        <v>SGN - Southern</v>
      </c>
      <c r="B2" s="368"/>
      <c r="C2" s="368"/>
      <c r="D2" s="424"/>
      <c r="E2" s="370"/>
      <c r="F2" s="370"/>
      <c r="G2" s="370"/>
      <c r="H2" s="370"/>
      <c r="I2" s="370"/>
      <c r="J2" s="372"/>
    </row>
    <row r="3" spans="1:14" ht="20">
      <c r="A3" s="369">
        <f>Reporting_Year</f>
        <v>2024</v>
      </c>
      <c r="B3" s="425"/>
      <c r="C3" s="425"/>
      <c r="D3" s="426"/>
      <c r="E3" s="373"/>
      <c r="F3" s="373"/>
      <c r="G3" s="373"/>
      <c r="H3" s="373"/>
      <c r="I3" s="373"/>
      <c r="J3" s="375"/>
    </row>
    <row r="4" spans="1:14" s="377" customFormat="1" ht="12.75" customHeight="1">
      <c r="B4" s="427"/>
      <c r="C4" s="427"/>
      <c r="D4" s="29"/>
    </row>
    <row r="5" spans="1:14" s="377" customFormat="1">
      <c r="B5" s="427"/>
      <c r="C5" s="427"/>
      <c r="D5" s="29"/>
      <c r="E5" s="376" t="str">
        <f>IF(E6&lt;=Reporting_Year,"Actuals","Forecast")</f>
        <v>Actuals</v>
      </c>
      <c r="F5" s="376" t="str">
        <f>IF(F6&lt;=Reporting_Year,"Actuals","Forecast")</f>
        <v>Actuals</v>
      </c>
      <c r="G5" s="376" t="str">
        <f>IF(G6&lt;=Reporting_Year,"Actuals","Forecast")</f>
        <v>Actuals</v>
      </c>
      <c r="H5" s="376" t="str">
        <f>IF(H6&lt;=Reporting_Year,"Actuals","Forecast")</f>
        <v>Forecast</v>
      </c>
      <c r="I5" s="376" t="str">
        <f>IF(I6&lt;=Reporting_Year,"Actuals","Forecast")</f>
        <v>Forecast</v>
      </c>
    </row>
    <row r="6" spans="1:14" s="377" customFormat="1">
      <c r="B6" s="427"/>
      <c r="C6" s="427"/>
      <c r="D6" s="29"/>
      <c r="E6" s="378">
        <f>RIIO_2_start_date</f>
        <v>2022</v>
      </c>
      <c r="F6" s="378">
        <f>E6+1</f>
        <v>2023</v>
      </c>
      <c r="G6" s="378">
        <f>F6+1</f>
        <v>2024</v>
      </c>
      <c r="H6" s="378">
        <f t="shared" ref="H6:I6" si="1">G6+1</f>
        <v>2025</v>
      </c>
      <c r="I6" s="378">
        <f t="shared" si="1"/>
        <v>2026</v>
      </c>
    </row>
    <row r="7" spans="1:14" s="377" customFormat="1">
      <c r="B7" s="92"/>
      <c r="C7" s="92"/>
      <c r="D7" s="29"/>
      <c r="E7" s="381" t="str">
        <f>RIIO_2_start_date-1&amp;"/"&amp;RIGHT(RIIO_2_start_date,2)</f>
        <v>2021/22</v>
      </c>
      <c r="F7" s="381" t="str">
        <f>RIIO_2_start_date&amp;"/"&amp;RIGHT(RIIO_2_start_date+1,2)</f>
        <v>2022/23</v>
      </c>
      <c r="G7" s="381" t="str">
        <f>RIIO_2_start_date+1&amp;"/"&amp;RIGHT(RIIO_2_start_date+2,2)</f>
        <v>2023/24</v>
      </c>
      <c r="H7" s="381" t="str">
        <f>RIIO_2_start_date+2&amp;"/"&amp;RIGHT(RIIO_2_start_date+3,2)</f>
        <v>2024/25</v>
      </c>
      <c r="I7" s="381" t="str">
        <f>RIIO_2_start_date+3&amp;"/"&amp;RIGHT(RIIO_2_start_date+4,2)</f>
        <v>2025/26</v>
      </c>
    </row>
    <row r="8" spans="1:14" s="377" customFormat="1">
      <c r="B8" s="92"/>
      <c r="C8" s="92"/>
      <c r="D8" s="29"/>
      <c r="E8" s="428"/>
      <c r="F8" s="428"/>
      <c r="G8" s="428"/>
      <c r="H8" s="428"/>
      <c r="I8" s="428"/>
    </row>
    <row r="9" spans="1:14" s="377" customFormat="1">
      <c r="B9" s="429" t="s">
        <v>517</v>
      </c>
      <c r="C9" s="429"/>
      <c r="D9" s="430"/>
      <c r="E9" s="431"/>
      <c r="F9" s="431"/>
      <c r="G9" s="431"/>
      <c r="H9" s="431"/>
      <c r="I9" s="431"/>
      <c r="J9" s="432"/>
    </row>
    <row r="10" spans="1:14" s="377" customFormat="1">
      <c r="B10" s="92"/>
      <c r="C10" s="92"/>
      <c r="D10" s="29"/>
      <c r="E10" s="428"/>
      <c r="F10" s="428"/>
      <c r="G10" s="428"/>
      <c r="H10" s="428"/>
      <c r="I10" s="428"/>
    </row>
    <row r="11" spans="1:14" s="377" customFormat="1">
      <c r="B11" s="433" t="s">
        <v>518</v>
      </c>
      <c r="C11" s="92"/>
      <c r="D11" s="29"/>
    </row>
    <row r="12" spans="1:14" s="377" customFormat="1">
      <c r="B12" s="434"/>
      <c r="C12" s="92"/>
      <c r="D12" s="29"/>
    </row>
    <row r="13" spans="1:14" s="377" customFormat="1">
      <c r="B13" s="94" t="s">
        <v>519</v>
      </c>
      <c r="C13" s="379" t="str">
        <f>IF(Licensee="NGGT (SO)","SORt* x  PIt* / PI2018/19",IF(Sector="ED2","Rt* x  PIt* / PI2020/21","Rt* x  PIt* / PI2018/19"))</f>
        <v>Rt* x  PIt* / PI2018/19</v>
      </c>
      <c r="D13" s="28" t="s">
        <v>520</v>
      </c>
      <c r="E13" s="435">
        <v>700.69689445086397</v>
      </c>
      <c r="F13" s="435">
        <v>915.01900537882602</v>
      </c>
      <c r="G13" s="435">
        <v>915.36371979060675</v>
      </c>
      <c r="H13" s="435"/>
      <c r="I13" s="435"/>
      <c r="N13" s="379"/>
    </row>
    <row r="14" spans="1:14" s="377" customFormat="1">
      <c r="B14" s="1263" t="s">
        <v>521</v>
      </c>
      <c r="C14" s="136" t="str">
        <f>IF(Licensee="NGGT (SO)","SOADJt*","ADJt*")</f>
        <v>ADJt*</v>
      </c>
      <c r="D14" s="28" t="s">
        <v>520</v>
      </c>
      <c r="E14" s="435" t="s">
        <v>1137</v>
      </c>
      <c r="F14" s="435">
        <v>28.944213955675</v>
      </c>
      <c r="G14" s="435">
        <v>1.5911189737465716</v>
      </c>
      <c r="H14" s="435"/>
      <c r="I14" s="435"/>
    </row>
    <row r="15" spans="1:14" s="377" customFormat="1">
      <c r="B15" s="94" t="str">
        <f>IF(Sector="ED2","Calculated revenue","Adjusted revenue (as published)")</f>
        <v>Adjusted revenue (as published)</v>
      </c>
      <c r="C15" s="136" t="str">
        <f>IF(Licensee="NGGT (SO)","SOADJRt*",IF(Sector="ED2"," ","ADJRt*"))</f>
        <v>ADJRt*</v>
      </c>
      <c r="D15" s="28" t="s">
        <v>520</v>
      </c>
      <c r="E15" s="481">
        <f>SUM(E13:E14)</f>
        <v>700.69689445086397</v>
      </c>
      <c r="F15" s="481">
        <f t="shared" ref="F15:I15" si="2">SUM(F13:F14)</f>
        <v>943.96321933450099</v>
      </c>
      <c r="G15" s="481">
        <f t="shared" si="2"/>
        <v>916.95483876435333</v>
      </c>
      <c r="H15" s="481">
        <f t="shared" si="2"/>
        <v>0</v>
      </c>
      <c r="I15" s="481">
        <f t="shared" si="2"/>
        <v>0</v>
      </c>
    </row>
    <row r="16" spans="1:14" s="377" customFormat="1">
      <c r="B16" s="94" t="s">
        <v>522</v>
      </c>
      <c r="C16" s="136" t="str">
        <f>IF(OR(Licensee="ESO",Licensee="NGGT (SO)"),"SOLARt","LARt")</f>
        <v>LARt</v>
      </c>
      <c r="D16" s="28" t="s">
        <v>520</v>
      </c>
      <c r="E16" s="435">
        <v>-4.5220000000000002</v>
      </c>
      <c r="F16" s="435">
        <v>4.4429999999999996</v>
      </c>
      <c r="G16" s="435">
        <v>-1.5265899880924143</v>
      </c>
      <c r="H16" s="435"/>
      <c r="I16" s="435"/>
    </row>
    <row r="17" spans="2:10" s="377" customFormat="1">
      <c r="B17" s="94" t="s">
        <v>523</v>
      </c>
      <c r="C17" s="136" t="str">
        <f>IF(Licensee="NGGT (SO)","SOKt","Kt")</f>
        <v>Kt</v>
      </c>
      <c r="D17" s="28" t="s">
        <v>520</v>
      </c>
      <c r="E17" s="435">
        <v>-3.5535999999999999</v>
      </c>
      <c r="F17" s="435">
        <v>6.8246000000000002</v>
      </c>
      <c r="G17" s="435">
        <v>7.3048726448104242</v>
      </c>
      <c r="H17" s="435"/>
      <c r="I17" s="435"/>
    </row>
    <row r="18" spans="2:10" s="377" customFormat="1">
      <c r="B18" s="94" t="s">
        <v>524</v>
      </c>
      <c r="C18" s="136" t="s">
        <v>525</v>
      </c>
      <c r="D18" s="28" t="s">
        <v>520</v>
      </c>
      <c r="E18" s="1262"/>
      <c r="F18" s="1262"/>
      <c r="G18" s="1262"/>
      <c r="H18" s="1262"/>
      <c r="I18" s="1262"/>
    </row>
    <row r="19" spans="2:10" s="377" customFormat="1">
      <c r="B19" s="92" t="s">
        <v>526</v>
      </c>
      <c r="C19" s="92" t="str">
        <f>IF(Licensee="ESO","SOIARt",IF(Licensee="NGGT (SO)","SOARt","ARt"))</f>
        <v>ARt</v>
      </c>
      <c r="D19" s="29" t="s">
        <v>520</v>
      </c>
      <c r="E19" s="480">
        <f>SUM(E15:E18)</f>
        <v>692.62129445086396</v>
      </c>
      <c r="F19" s="480">
        <f t="shared" ref="F19:I19" si="3">SUM(F15:F18)</f>
        <v>955.23081933450101</v>
      </c>
      <c r="G19" s="480">
        <f t="shared" si="3"/>
        <v>922.73312142107136</v>
      </c>
      <c r="H19" s="480">
        <f t="shared" si="3"/>
        <v>0</v>
      </c>
      <c r="I19" s="480">
        <f t="shared" si="3"/>
        <v>0</v>
      </c>
    </row>
    <row r="20" spans="2:10" s="377" customFormat="1">
      <c r="B20" s="427"/>
      <c r="C20" s="427"/>
      <c r="D20" s="29"/>
      <c r="E20" s="436"/>
      <c r="F20" s="436"/>
      <c r="G20" s="436"/>
      <c r="H20" s="437"/>
      <c r="I20" s="437"/>
    </row>
    <row r="21" spans="2:10" s="377" customFormat="1">
      <c r="B21" s="427" t="s">
        <v>527</v>
      </c>
      <c r="C21" s="434"/>
      <c r="D21" s="29" t="s">
        <v>520</v>
      </c>
      <c r="E21" s="480">
        <f>IF(ISBLANK(E25),0,E25-E19)</f>
        <v>-6.7381608454729758</v>
      </c>
      <c r="F21" s="480">
        <f t="shared" ref="F21:I21" si="4">IF(ISBLANK(F25),0,F25-F19)</f>
        <v>-7.063164106877025</v>
      </c>
      <c r="G21" s="480">
        <f t="shared" si="4"/>
        <v>-5.8724567544046522</v>
      </c>
      <c r="H21" s="480">
        <f t="shared" si="4"/>
        <v>0</v>
      </c>
      <c r="I21" s="480">
        <f t="shared" si="4"/>
        <v>0</v>
      </c>
    </row>
    <row r="22" spans="2:10" s="377" customFormat="1">
      <c r="B22" s="427"/>
      <c r="C22" s="427"/>
      <c r="D22" s="29"/>
    </row>
    <row r="23" spans="2:10" s="377" customFormat="1">
      <c r="B23" s="427"/>
      <c r="C23" s="427"/>
      <c r="D23" s="29"/>
    </row>
    <row r="24" spans="2:10" s="377" customFormat="1">
      <c r="B24" s="427"/>
      <c r="C24" s="427"/>
      <c r="D24" s="29"/>
    </row>
    <row r="25" spans="2:10" s="377" customFormat="1">
      <c r="B25" s="434" t="s">
        <v>528</v>
      </c>
      <c r="C25" s="434" t="s">
        <v>529</v>
      </c>
      <c r="D25" s="29" t="s">
        <v>520</v>
      </c>
      <c r="E25" s="435">
        <v>685.88313360539098</v>
      </c>
      <c r="F25" s="435">
        <v>948.16765522762398</v>
      </c>
      <c r="G25" s="435">
        <v>916.86066466666671</v>
      </c>
      <c r="H25" s="435"/>
      <c r="I25" s="435"/>
    </row>
    <row r="26" spans="2:10" s="377" customFormat="1">
      <c r="B26" s="427"/>
      <c r="C26" s="427"/>
      <c r="D26" s="29"/>
    </row>
    <row r="27" spans="2:10" s="377" customFormat="1">
      <c r="B27" s="434" t="s">
        <v>530</v>
      </c>
      <c r="C27" s="434"/>
      <c r="D27" s="29"/>
      <c r="E27" s="29"/>
      <c r="F27" s="29"/>
      <c r="G27" s="29"/>
      <c r="H27" s="29"/>
      <c r="I27" s="29"/>
      <c r="J27" s="29"/>
    </row>
    <row r="28" spans="2:10" s="377" customFormat="1">
      <c r="B28" s="438" t="s">
        <v>531</v>
      </c>
      <c r="C28" s="438"/>
      <c r="D28" s="29" t="s">
        <v>520</v>
      </c>
      <c r="E28" s="439"/>
      <c r="F28" s="439"/>
      <c r="G28" s="439"/>
      <c r="H28" s="439"/>
      <c r="I28" s="439"/>
    </row>
    <row r="29" spans="2:10" s="377" customFormat="1">
      <c r="B29" s="438" t="s">
        <v>532</v>
      </c>
      <c r="C29" s="438"/>
      <c r="D29" s="29" t="s">
        <v>520</v>
      </c>
      <c r="E29" s="439"/>
      <c r="F29" s="439"/>
      <c r="G29" s="439"/>
      <c r="H29" s="439"/>
      <c r="I29" s="439"/>
    </row>
    <row r="30" spans="2:10" s="377" customFormat="1">
      <c r="B30" s="438" t="s">
        <v>533</v>
      </c>
      <c r="C30" s="438"/>
      <c r="D30" s="29" t="s">
        <v>520</v>
      </c>
      <c r="E30" s="439">
        <v>18.21867568</v>
      </c>
      <c r="F30" s="439">
        <v>20.11941285</v>
      </c>
      <c r="G30" s="439">
        <v>15.498633410000002</v>
      </c>
      <c r="H30" s="439"/>
      <c r="I30" s="439"/>
    </row>
    <row r="31" spans="2:10" s="377" customFormat="1">
      <c r="B31" s="438" t="s">
        <v>534</v>
      </c>
      <c r="C31" s="438"/>
      <c r="D31" s="29" t="s">
        <v>520</v>
      </c>
      <c r="E31" s="439"/>
      <c r="F31" s="439"/>
      <c r="G31" s="439"/>
      <c r="H31" s="439"/>
      <c r="I31" s="439"/>
    </row>
    <row r="32" spans="2:10" s="377" customFormat="1">
      <c r="B32" s="438" t="s">
        <v>535</v>
      </c>
      <c r="C32" s="438"/>
      <c r="D32" s="29" t="s">
        <v>520</v>
      </c>
      <c r="E32" s="439"/>
      <c r="F32" s="439"/>
      <c r="G32" s="439"/>
      <c r="H32" s="439"/>
      <c r="I32" s="439"/>
    </row>
    <row r="33" spans="2:9" s="377" customFormat="1">
      <c r="B33" s="438" t="s">
        <v>536</v>
      </c>
      <c r="C33" s="438"/>
      <c r="D33" s="29" t="s">
        <v>520</v>
      </c>
      <c r="E33" s="439">
        <v>6.6201717899999997</v>
      </c>
      <c r="F33" s="439">
        <v>7.6942222999999998</v>
      </c>
      <c r="G33" s="439">
        <v>11.51761138</v>
      </c>
      <c r="H33" s="439"/>
      <c r="I33" s="439"/>
    </row>
    <row r="34" spans="2:9" s="377" customFormat="1">
      <c r="B34" s="438" t="s">
        <v>537</v>
      </c>
      <c r="C34" s="438"/>
      <c r="D34" s="29" t="s">
        <v>520</v>
      </c>
      <c r="E34" s="439"/>
      <c r="F34" s="439"/>
      <c r="G34" s="439"/>
      <c r="H34" s="439"/>
      <c r="I34" s="439"/>
    </row>
    <row r="35" spans="2:9" s="377" customFormat="1">
      <c r="B35" s="204" t="s">
        <v>538</v>
      </c>
      <c r="C35" s="204"/>
      <c r="D35" s="29" t="s">
        <v>520</v>
      </c>
      <c r="E35" s="439"/>
      <c r="F35" s="439"/>
      <c r="G35" s="439"/>
      <c r="H35" s="439"/>
      <c r="I35" s="439"/>
    </row>
    <row r="36" spans="2:9" s="377" customFormat="1">
      <c r="B36" s="440" t="s">
        <v>539</v>
      </c>
      <c r="C36" s="441"/>
      <c r="D36" s="29" t="s">
        <v>520</v>
      </c>
      <c r="E36" s="439"/>
      <c r="F36" s="439"/>
      <c r="G36" s="439"/>
      <c r="H36" s="439"/>
      <c r="I36" s="439"/>
    </row>
    <row r="37" spans="2:9" s="377" customFormat="1">
      <c r="B37" s="434" t="s">
        <v>540</v>
      </c>
      <c r="C37" s="434"/>
      <c r="D37" s="29" t="s">
        <v>520</v>
      </c>
      <c r="E37" s="480">
        <f>SUM(E28:E36)</f>
        <v>24.838847470000001</v>
      </c>
      <c r="F37" s="480">
        <f t="shared" ref="F37:I37" si="5">SUM(F28:F36)</f>
        <v>27.81363515</v>
      </c>
      <c r="G37" s="480">
        <f t="shared" si="5"/>
        <v>27.016244790000002</v>
      </c>
      <c r="H37" s="480">
        <f t="shared" si="5"/>
        <v>0</v>
      </c>
      <c r="I37" s="480">
        <f t="shared" si="5"/>
        <v>0</v>
      </c>
    </row>
    <row r="38" spans="2:9" s="377" customFormat="1">
      <c r="B38" s="427"/>
      <c r="C38" s="427"/>
      <c r="D38" s="29"/>
    </row>
    <row r="39" spans="2:9" s="377" customFormat="1">
      <c r="B39" s="434" t="s">
        <v>541</v>
      </c>
      <c r="D39" s="434"/>
      <c r="E39" s="442"/>
    </row>
    <row r="40" spans="2:9" s="377" customFormat="1">
      <c r="B40" s="1328" t="s">
        <v>1138</v>
      </c>
      <c r="C40" s="440"/>
      <c r="D40" s="29" t="s">
        <v>520</v>
      </c>
      <c r="E40" s="439">
        <v>0.24768699999999999</v>
      </c>
      <c r="F40" s="439">
        <v>1.5122E-2</v>
      </c>
      <c r="G40" s="439">
        <v>-0.13636149316951632</v>
      </c>
      <c r="H40" s="439"/>
      <c r="I40" s="439"/>
    </row>
    <row r="41" spans="2:9" s="377" customFormat="1">
      <c r="B41" s="1328" t="s">
        <v>1139</v>
      </c>
      <c r="C41" s="440"/>
      <c r="D41" s="29" t="s">
        <v>520</v>
      </c>
      <c r="E41" s="439">
        <v>3.4851329999999998</v>
      </c>
      <c r="F41" s="439"/>
      <c r="G41" s="439">
        <v>-0.9379405666666667</v>
      </c>
      <c r="H41" s="439"/>
      <c r="I41" s="439"/>
    </row>
    <row r="42" spans="2:9" s="377" customFormat="1">
      <c r="B42" s="1328" t="s">
        <v>1140</v>
      </c>
      <c r="C42" s="440"/>
      <c r="D42" s="29" t="s">
        <v>520</v>
      </c>
      <c r="E42" s="439"/>
      <c r="F42" s="439">
        <v>-154.834485</v>
      </c>
      <c r="G42" s="439">
        <v>-42.044682369999997</v>
      </c>
      <c r="H42" s="439"/>
      <c r="I42" s="439"/>
    </row>
    <row r="43" spans="2:9" s="377" customFormat="1">
      <c r="B43" s="1328" t="s">
        <v>542</v>
      </c>
      <c r="C43" s="440"/>
      <c r="D43" s="29" t="s">
        <v>520</v>
      </c>
      <c r="E43" s="439"/>
      <c r="F43" s="439"/>
      <c r="G43" s="439"/>
      <c r="H43" s="439"/>
      <c r="I43" s="439"/>
    </row>
    <row r="44" spans="2:9" s="377" customFormat="1">
      <c r="B44" s="1328" t="s">
        <v>542</v>
      </c>
      <c r="C44" s="440"/>
      <c r="D44" s="29" t="s">
        <v>520</v>
      </c>
      <c r="E44" s="439"/>
      <c r="F44" s="439"/>
      <c r="G44" s="439"/>
      <c r="H44" s="439"/>
      <c r="I44" s="439"/>
    </row>
    <row r="45" spans="2:9" s="377" customFormat="1">
      <c r="B45" s="1328" t="s">
        <v>542</v>
      </c>
      <c r="C45" s="440"/>
      <c r="D45" s="29" t="s">
        <v>520</v>
      </c>
      <c r="E45" s="439"/>
      <c r="F45" s="439"/>
      <c r="G45" s="439"/>
      <c r="H45" s="439"/>
      <c r="I45" s="439"/>
    </row>
    <row r="46" spans="2:9" s="377" customFormat="1">
      <c r="B46" s="1328" t="s">
        <v>542</v>
      </c>
      <c r="C46" s="440"/>
      <c r="D46" s="29" t="s">
        <v>520</v>
      </c>
      <c r="E46" s="439"/>
      <c r="F46" s="439"/>
      <c r="G46" s="439"/>
      <c r="H46" s="439"/>
      <c r="I46" s="439"/>
    </row>
    <row r="47" spans="2:9" s="377" customFormat="1">
      <c r="B47" s="1328" t="s">
        <v>542</v>
      </c>
      <c r="C47" s="440"/>
      <c r="D47" s="29" t="s">
        <v>520</v>
      </c>
      <c r="E47" s="439"/>
      <c r="F47" s="439"/>
      <c r="G47" s="439"/>
      <c r="H47" s="439"/>
      <c r="I47" s="439"/>
    </row>
    <row r="48" spans="2:9" s="377" customFormat="1">
      <c r="B48" s="1328" t="s">
        <v>542</v>
      </c>
      <c r="C48" s="440"/>
      <c r="D48" s="29" t="s">
        <v>520</v>
      </c>
      <c r="E48" s="439"/>
      <c r="F48" s="439"/>
      <c r="G48" s="439"/>
      <c r="H48" s="439"/>
      <c r="I48" s="439"/>
    </row>
    <row r="49" spans="2:10" s="377" customFormat="1">
      <c r="B49" s="1328" t="s">
        <v>542</v>
      </c>
      <c r="C49" s="440"/>
      <c r="D49" s="29" t="s">
        <v>520</v>
      </c>
      <c r="E49" s="439"/>
      <c r="F49" s="439"/>
      <c r="G49" s="439"/>
      <c r="H49" s="439"/>
      <c r="I49" s="439"/>
    </row>
    <row r="50" spans="2:10" s="377" customFormat="1">
      <c r="B50" s="1328" t="s">
        <v>542</v>
      </c>
      <c r="C50" s="440"/>
      <c r="D50" s="29" t="s">
        <v>520</v>
      </c>
      <c r="E50" s="439"/>
      <c r="F50" s="439"/>
      <c r="G50" s="439"/>
      <c r="H50" s="439"/>
      <c r="I50" s="439"/>
    </row>
    <row r="51" spans="2:10" s="377" customFormat="1">
      <c r="B51" s="1328" t="s">
        <v>542</v>
      </c>
      <c r="C51" s="440"/>
      <c r="D51" s="29" t="s">
        <v>520</v>
      </c>
      <c r="E51" s="439"/>
      <c r="F51" s="439"/>
      <c r="G51" s="439"/>
      <c r="H51" s="439"/>
      <c r="I51" s="439"/>
    </row>
    <row r="52" spans="2:10" s="377" customFormat="1">
      <c r="B52" s="1328" t="s">
        <v>542</v>
      </c>
      <c r="C52" s="440"/>
      <c r="D52" s="29" t="s">
        <v>520</v>
      </c>
      <c r="E52" s="439"/>
      <c r="F52" s="439"/>
      <c r="G52" s="439"/>
      <c r="H52" s="439"/>
      <c r="I52" s="439"/>
    </row>
    <row r="53" spans="2:10" s="377" customFormat="1">
      <c r="B53" s="1328" t="s">
        <v>542</v>
      </c>
      <c r="C53" s="440"/>
      <c r="D53" s="29" t="s">
        <v>520</v>
      </c>
      <c r="E53" s="439"/>
      <c r="F53" s="439"/>
      <c r="G53" s="439"/>
      <c r="H53" s="439"/>
      <c r="I53" s="439"/>
    </row>
    <row r="54" spans="2:10" s="377" customFormat="1">
      <c r="B54" s="1328" t="s">
        <v>542</v>
      </c>
      <c r="C54" s="440"/>
      <c r="D54" s="29" t="s">
        <v>520</v>
      </c>
      <c r="E54" s="439"/>
      <c r="F54" s="439"/>
      <c r="G54" s="439"/>
      <c r="H54" s="439"/>
      <c r="I54" s="439"/>
    </row>
    <row r="55" spans="2:10" s="377" customFormat="1">
      <c r="B55" s="1328" t="s">
        <v>542</v>
      </c>
      <c r="C55" s="440"/>
      <c r="D55" s="29" t="s">
        <v>520</v>
      </c>
      <c r="E55" s="439"/>
      <c r="F55" s="439"/>
      <c r="G55" s="439"/>
      <c r="H55" s="439"/>
      <c r="I55" s="439"/>
    </row>
    <row r="56" spans="2:10" s="377" customFormat="1">
      <c r="B56" s="434" t="s">
        <v>543</v>
      </c>
      <c r="C56" s="434"/>
      <c r="D56" s="29" t="s">
        <v>520</v>
      </c>
      <c r="E56" s="480">
        <f t="shared" ref="E56:I56" si="6">SUM(E40:E55)</f>
        <v>3.7328199999999998</v>
      </c>
      <c r="F56" s="480">
        <f t="shared" si="6"/>
        <v>-154.81936300000001</v>
      </c>
      <c r="G56" s="480">
        <f t="shared" si="6"/>
        <v>-43.118984429836182</v>
      </c>
      <c r="H56" s="480">
        <f t="shared" si="6"/>
        <v>0</v>
      </c>
      <c r="I56" s="480">
        <f t="shared" si="6"/>
        <v>0</v>
      </c>
    </row>
    <row r="57" spans="2:10" s="377" customFormat="1">
      <c r="B57" s="427"/>
      <c r="C57" s="427"/>
      <c r="D57" s="29"/>
      <c r="E57" s="443"/>
      <c r="F57" s="443"/>
      <c r="G57" s="443"/>
      <c r="H57" s="443"/>
      <c r="I57" s="443"/>
    </row>
    <row r="58" spans="2:10" s="377" customFormat="1">
      <c r="B58" s="444" t="s">
        <v>544</v>
      </c>
      <c r="C58" s="444"/>
      <c r="D58" s="29" t="s">
        <v>520</v>
      </c>
      <c r="E58" s="480">
        <f>E25+E37+E56</f>
        <v>714.45480107539095</v>
      </c>
      <c r="F58" s="480">
        <f t="shared" ref="F58:I58" si="7">F25+F37+F56</f>
        <v>821.1619273776239</v>
      </c>
      <c r="G58" s="480">
        <f t="shared" si="7"/>
        <v>900.75792502683055</v>
      </c>
      <c r="H58" s="480">
        <f t="shared" si="7"/>
        <v>0</v>
      </c>
      <c r="I58" s="480">
        <f t="shared" si="7"/>
        <v>0</v>
      </c>
    </row>
    <row r="59" spans="2:10" s="377" customFormat="1">
      <c r="B59" s="445" t="s">
        <v>545</v>
      </c>
      <c r="C59" s="445"/>
      <c r="D59" s="29" t="s">
        <v>520</v>
      </c>
      <c r="E59" s="439">
        <v>714.45971631999998</v>
      </c>
      <c r="F59" s="439">
        <v>821.18501596999999</v>
      </c>
      <c r="G59" s="439">
        <v>900.78006801000015</v>
      </c>
      <c r="H59" s="439"/>
      <c r="I59" s="439"/>
    </row>
    <row r="60" spans="2:10" s="377" customFormat="1">
      <c r="B60" s="427" t="s">
        <v>546</v>
      </c>
      <c r="C60" s="427"/>
      <c r="D60" s="29"/>
      <c r="E60" s="482" t="str">
        <f>IF(ABS(E58-E59)&lt;Data!$F$7,"OK","Error")</f>
        <v>OK</v>
      </c>
      <c r="F60" s="482" t="str">
        <f>IF(ABS(F58-F59)&lt;Data!$F$7,"OK","Error")</f>
        <v>OK</v>
      </c>
      <c r="G60" s="482" t="str">
        <f>IF(ABS(G58-G59)&lt;Data!$F$7,"OK","Error")</f>
        <v>OK</v>
      </c>
      <c r="H60" s="482" t="str">
        <f>IF(ABS(H58-H59)&lt;Data!$F$7,"OK","Error")</f>
        <v>OK</v>
      </c>
      <c r="I60" s="482" t="str">
        <f>IF(ABS(I58-I59)&lt;Data!$F$7,"OK","Error")</f>
        <v>OK</v>
      </c>
    </row>
    <row r="61" spans="2:10" s="377" customFormat="1">
      <c r="B61" s="427"/>
      <c r="C61" s="427"/>
      <c r="D61" s="29"/>
      <c r="E61" s="446"/>
      <c r="F61" s="446"/>
      <c r="G61" s="446"/>
      <c r="H61" s="446"/>
      <c r="I61" s="446"/>
    </row>
    <row r="62" spans="2:10" s="377" customFormat="1">
      <c r="B62" s="427"/>
      <c r="C62" s="427"/>
      <c r="D62" s="29"/>
    </row>
    <row r="63" spans="2:10" s="377" customFormat="1">
      <c r="B63" s="427"/>
      <c r="C63" s="427"/>
      <c r="D63" s="29"/>
    </row>
    <row r="64" spans="2:10" s="377" customFormat="1">
      <c r="B64" s="429" t="s">
        <v>547</v>
      </c>
      <c r="C64" s="429"/>
      <c r="D64" s="430"/>
      <c r="E64" s="431"/>
      <c r="F64" s="431"/>
      <c r="G64" s="431"/>
      <c r="H64" s="431"/>
      <c r="I64" s="431"/>
      <c r="J64" s="432"/>
    </row>
    <row r="65" spans="1:14" s="377" customFormat="1">
      <c r="A65" s="136"/>
      <c r="B65" s="94"/>
      <c r="C65" s="94"/>
      <c r="D65" s="29"/>
      <c r="E65" s="136"/>
      <c r="F65" s="136"/>
      <c r="G65" s="136"/>
      <c r="H65" s="136"/>
      <c r="I65" s="136"/>
      <c r="J65" s="136"/>
      <c r="K65" s="136"/>
      <c r="L65" s="136"/>
      <c r="M65" s="136"/>
      <c r="N65" s="136"/>
    </row>
    <row r="66" spans="1:14" s="377" customFormat="1">
      <c r="A66" s="136"/>
      <c r="B66" s="94"/>
      <c r="C66" s="94"/>
      <c r="D66" s="29"/>
      <c r="E66" s="376" t="str">
        <f>IF(E$6&lt;=Reporting_Year,"Actuals","N/A")</f>
        <v>Actuals</v>
      </c>
      <c r="F66" s="376" t="str">
        <f>IF(F$6&lt;=Reporting_Year,"Actuals","N/A")</f>
        <v>Actuals</v>
      </c>
      <c r="G66" s="376" t="str">
        <f>IF(G$6&lt;=Reporting_Year,"Actuals","N/A")</f>
        <v>Actuals</v>
      </c>
      <c r="H66" s="376" t="str">
        <f>IF(H$6&lt;=Reporting_Year,"Actuals","N/A")</f>
        <v>N/A</v>
      </c>
      <c r="I66" s="376" t="str">
        <f>IF(I$6&lt;=Reporting_Year,"Actuals","N/A")</f>
        <v>N/A</v>
      </c>
      <c r="J66" s="136"/>
      <c r="K66" s="136"/>
      <c r="L66" s="136"/>
      <c r="M66" s="136"/>
      <c r="N66" s="136"/>
    </row>
    <row r="67" spans="1:14" s="377" customFormat="1">
      <c r="A67" s="136"/>
      <c r="B67" s="94"/>
      <c r="C67" s="94"/>
      <c r="D67" s="29"/>
      <c r="E67" s="136"/>
      <c r="F67" s="136"/>
      <c r="G67" s="136"/>
      <c r="H67" s="136"/>
      <c r="I67" s="136"/>
      <c r="J67" s="136"/>
      <c r="K67" s="136"/>
      <c r="L67" s="136"/>
      <c r="M67" s="136"/>
      <c r="N67" s="136"/>
    </row>
    <row r="68" spans="1:14" s="377" customFormat="1">
      <c r="A68" s="136"/>
      <c r="B68" s="384" t="s">
        <v>548</v>
      </c>
      <c r="C68" s="94"/>
      <c r="D68" s="29" t="s">
        <v>520</v>
      </c>
      <c r="E68" s="483">
        <f t="shared" ref="E68:I68" si="8">E59</f>
        <v>714.45971631999998</v>
      </c>
      <c r="F68" s="483">
        <f t="shared" si="8"/>
        <v>821.18501596999999</v>
      </c>
      <c r="G68" s="483">
        <f t="shared" si="8"/>
        <v>900.78006801000015</v>
      </c>
      <c r="H68" s="483">
        <f t="shared" si="8"/>
        <v>0</v>
      </c>
      <c r="I68" s="483">
        <f t="shared" si="8"/>
        <v>0</v>
      </c>
      <c r="J68" s="136"/>
      <c r="K68" s="136"/>
      <c r="L68" s="136"/>
      <c r="M68" s="136"/>
      <c r="N68" s="136"/>
    </row>
    <row r="69" spans="1:14" s="377" customFormat="1">
      <c r="A69" s="136"/>
      <c r="B69" s="377" t="s">
        <v>549</v>
      </c>
      <c r="C69" s="94"/>
      <c r="D69" s="29" t="s">
        <v>520</v>
      </c>
      <c r="E69" s="483">
        <f>E25</f>
        <v>685.88313360539098</v>
      </c>
      <c r="F69" s="483">
        <f>F25</f>
        <v>948.16765522762398</v>
      </c>
      <c r="G69" s="483">
        <f t="shared" ref="G69:I69" si="9">G25</f>
        <v>916.86066466666671</v>
      </c>
      <c r="H69" s="483">
        <f t="shared" si="9"/>
        <v>0</v>
      </c>
      <c r="I69" s="483">
        <f t="shared" si="9"/>
        <v>0</v>
      </c>
      <c r="J69" s="136" t="s">
        <v>550</v>
      </c>
      <c r="K69" s="136"/>
      <c r="L69" s="136"/>
      <c r="M69" s="136"/>
      <c r="N69" s="136"/>
    </row>
    <row r="70" spans="1:14" s="377" customFormat="1">
      <c r="A70" s="136"/>
      <c r="B70" s="445"/>
      <c r="C70" s="94"/>
      <c r="D70" s="29"/>
      <c r="E70" s="447"/>
      <c r="F70" s="447"/>
      <c r="G70" s="447"/>
      <c r="H70" s="136"/>
      <c r="I70" s="136"/>
      <c r="J70" s="136"/>
      <c r="K70" s="136"/>
      <c r="L70" s="136"/>
      <c r="M70" s="136"/>
      <c r="N70" s="136"/>
    </row>
    <row r="71" spans="1:14">
      <c r="B71" s="448"/>
    </row>
    <row r="72" spans="1:14">
      <c r="B72" s="384" t="s">
        <v>551</v>
      </c>
      <c r="D72" s="29" t="s">
        <v>520</v>
      </c>
      <c r="E72" s="483">
        <f>'R3 - Totex - Reconciliation'!D129</f>
        <v>347.58500000000004</v>
      </c>
      <c r="F72" s="483">
        <f>'R3 - Totex - Reconciliation'!E129</f>
        <v>392.24402042000008</v>
      </c>
      <c r="G72" s="483">
        <f>'R3 - Totex - Reconciliation'!F129</f>
        <v>397.4</v>
      </c>
      <c r="H72" s="483">
        <f>'R3 - Totex - Reconciliation'!G129</f>
        <v>0</v>
      </c>
      <c r="I72" s="483">
        <f>'R3 - Totex - Reconciliation'!H129</f>
        <v>0</v>
      </c>
    </row>
    <row r="73" spans="1:14">
      <c r="B73" s="449" t="s">
        <v>552</v>
      </c>
      <c r="D73" s="136"/>
    </row>
    <row r="74" spans="1:14" ht="8.15" customHeight="1">
      <c r="B74" s="136"/>
      <c r="D74" s="136"/>
    </row>
    <row r="75" spans="1:14" ht="12.65" customHeight="1">
      <c r="B75" s="377" t="s">
        <v>553</v>
      </c>
      <c r="D75" s="29" t="s">
        <v>520</v>
      </c>
      <c r="E75" s="484">
        <f>'R3 - Totex - Reconciliation'!D151</f>
        <v>-26.116360463871484</v>
      </c>
      <c r="F75" s="484">
        <f>'R3 - Totex - Reconciliation'!E151</f>
        <v>112.64832163000001</v>
      </c>
      <c r="G75" s="484">
        <f>'R3 - Totex - Reconciliation'!F151</f>
        <v>-29.580644380000003</v>
      </c>
      <c r="H75" s="484">
        <f>'R3 - Totex - Reconciliation'!G151</f>
        <v>0</v>
      </c>
      <c r="I75" s="484">
        <f>'R3 - Totex - Reconciliation'!H151</f>
        <v>0</v>
      </c>
    </row>
    <row r="76" spans="1:14">
      <c r="B76" s="136" t="s">
        <v>554</v>
      </c>
      <c r="D76" s="29" t="s">
        <v>520</v>
      </c>
      <c r="E76" s="439"/>
      <c r="F76" s="439"/>
      <c r="G76" s="439"/>
      <c r="H76" s="439"/>
      <c r="I76" s="439"/>
    </row>
    <row r="77" spans="1:14" ht="5.15" customHeight="1">
      <c r="B77" s="136"/>
      <c r="D77" s="94"/>
      <c r="E77" s="94"/>
      <c r="F77" s="94"/>
      <c r="G77" s="94"/>
      <c r="H77" s="94"/>
      <c r="I77" s="94"/>
    </row>
    <row r="78" spans="1:14">
      <c r="B78" s="377" t="s">
        <v>555</v>
      </c>
      <c r="D78" s="29" t="s">
        <v>520</v>
      </c>
      <c r="E78" s="483">
        <f>'R3 - Totex - Reconciliation'!D129+'R3 - Totex - Reconciliation'!D151+E76</f>
        <v>321.46863953612853</v>
      </c>
      <c r="F78" s="485">
        <f>'R3 - Totex - Reconciliation'!E129+'R3 - Totex - Reconciliation'!E151+F76</f>
        <v>504.89234205000008</v>
      </c>
      <c r="G78" s="485">
        <f>'R3 - Totex - Reconciliation'!F129+'R3 - Totex - Reconciliation'!F151+G76</f>
        <v>367.81935561999995</v>
      </c>
      <c r="H78" s="485">
        <f>'R3 - Totex - Reconciliation'!G129+'R3 - Totex - Reconciliation'!G151+H76</f>
        <v>0</v>
      </c>
      <c r="I78" s="485">
        <f>'R3 - Totex - Reconciliation'!H129+'R3 - Totex - Reconciliation'!H151+I76</f>
        <v>0</v>
      </c>
      <c r="K78" s="94"/>
      <c r="N78" s="94"/>
    </row>
    <row r="79" spans="1:14">
      <c r="B79" s="449" t="s">
        <v>556</v>
      </c>
      <c r="D79" s="29" t="s">
        <v>520</v>
      </c>
      <c r="E79" s="486" t="str">
        <f>IF(ABS(E78-SUM(E72,E75,E76))&lt;=materiality_threshold,"ok","error")</f>
        <v>ok</v>
      </c>
      <c r="F79" s="486" t="str">
        <f>IF(ABS(F78-SUM(F72,F75,F76))&lt;=materiality_threshold,"ok","error")</f>
        <v>ok</v>
      </c>
      <c r="G79" s="486" t="str">
        <f>IF(ABS(G78-SUM(G72,G75,G76))&lt;=materiality_threshold,"ok","error")</f>
        <v>ok</v>
      </c>
      <c r="H79" s="486" t="str">
        <f>IF(ABS(H78-SUM(H72,H75,H76))&lt;=materiality_threshold,"ok","error")</f>
        <v>ok</v>
      </c>
      <c r="I79" s="486" t="str">
        <f>IF(ABS(I78-SUM(I72,I75,I76))&lt;=materiality_threshold,"ok","error")</f>
        <v>ok</v>
      </c>
    </row>
    <row r="80" spans="1:14">
      <c r="B80" s="136"/>
      <c r="E80" s="29"/>
      <c r="F80" s="29"/>
      <c r="G80" s="29"/>
      <c r="H80" s="29"/>
      <c r="I80" s="29"/>
    </row>
    <row r="81" spans="2:13">
      <c r="B81" s="384" t="s">
        <v>557</v>
      </c>
      <c r="D81" s="29" t="s">
        <v>520</v>
      </c>
      <c r="E81" s="487">
        <f>E68-E72</f>
        <v>366.87471631999995</v>
      </c>
      <c r="F81" s="487">
        <f>F68-F72</f>
        <v>428.94099554999991</v>
      </c>
      <c r="G81" s="487">
        <f>G68-G72</f>
        <v>503.38006801000017</v>
      </c>
      <c r="H81" s="487">
        <f>H68-H72</f>
        <v>0</v>
      </c>
      <c r="I81" s="487">
        <f>I68-I72</f>
        <v>0</v>
      </c>
    </row>
    <row r="82" spans="2:13">
      <c r="B82" s="450" t="s">
        <v>558</v>
      </c>
      <c r="D82" s="29" t="s">
        <v>520</v>
      </c>
      <c r="E82" s="487">
        <f>E69-E78</f>
        <v>364.41449406926245</v>
      </c>
      <c r="F82" s="487">
        <f>F69-F78</f>
        <v>443.2753131776239</v>
      </c>
      <c r="G82" s="487">
        <f>G69-G78</f>
        <v>549.04130904666681</v>
      </c>
      <c r="H82" s="487">
        <f>H69-H78</f>
        <v>0</v>
      </c>
      <c r="I82" s="487">
        <f>I69-I78</f>
        <v>0</v>
      </c>
    </row>
    <row r="84" spans="2:13">
      <c r="B84" s="384" t="s">
        <v>559</v>
      </c>
      <c r="D84" s="29" t="s">
        <v>520</v>
      </c>
      <c r="E84" s="485">
        <f>'R3 - Totex - Reconciliation'!D124</f>
        <v>135.4</v>
      </c>
      <c r="F84" s="485">
        <f>'R3 - Totex - Reconciliation'!E124</f>
        <v>139.484701</v>
      </c>
      <c r="G84" s="485">
        <f>'R3 - Totex - Reconciliation'!F124</f>
        <v>139.54993876</v>
      </c>
      <c r="H84" s="485">
        <f>'R3 - Totex - Reconciliation'!G124</f>
        <v>0</v>
      </c>
      <c r="I84" s="485">
        <f>'R3 - Totex - Reconciliation'!H124</f>
        <v>0</v>
      </c>
    </row>
    <row r="85" spans="2:13" ht="16" customHeight="1">
      <c r="B85" s="449" t="s">
        <v>552</v>
      </c>
    </row>
    <row r="86" spans="2:13" ht="22" customHeight="1">
      <c r="B86" s="136" t="s">
        <v>560</v>
      </c>
      <c r="D86" s="136"/>
    </row>
    <row r="87" spans="2:13">
      <c r="B87" s="427" t="s">
        <v>561</v>
      </c>
      <c r="D87" s="29" t="s">
        <v>520</v>
      </c>
      <c r="E87" s="451">
        <v>2.4840219968000001</v>
      </c>
      <c r="F87" s="451">
        <v>0</v>
      </c>
      <c r="G87" s="451">
        <v>0</v>
      </c>
      <c r="H87" s="451">
        <v>0</v>
      </c>
      <c r="I87" s="451">
        <v>0</v>
      </c>
    </row>
    <row r="88" spans="2:13">
      <c r="B88" s="440" t="s">
        <v>562</v>
      </c>
      <c r="C88" s="440"/>
      <c r="D88" s="29" t="s">
        <v>520</v>
      </c>
      <c r="E88" s="439"/>
      <c r="F88" s="439"/>
      <c r="G88" s="439"/>
      <c r="H88" s="439"/>
      <c r="I88" s="439"/>
    </row>
    <row r="89" spans="2:13">
      <c r="B89" s="427" t="s">
        <v>563</v>
      </c>
      <c r="D89" s="29" t="s">
        <v>520</v>
      </c>
      <c r="E89" s="488">
        <f>SUM(E87:E88)</f>
        <v>2.4840219968000001</v>
      </c>
      <c r="F89" s="488">
        <f t="shared" ref="F89:I89" si="10">SUM(F87:F88)</f>
        <v>0</v>
      </c>
      <c r="G89" s="488">
        <f t="shared" si="10"/>
        <v>0</v>
      </c>
      <c r="H89" s="488">
        <f t="shared" si="10"/>
        <v>0</v>
      </c>
      <c r="I89" s="488">
        <f t="shared" si="10"/>
        <v>0</v>
      </c>
    </row>
    <row r="90" spans="2:13" ht="5.15" customHeight="1">
      <c r="B90" s="427"/>
      <c r="D90" s="94"/>
      <c r="E90" s="94"/>
      <c r="F90" s="94"/>
      <c r="G90" s="94"/>
      <c r="H90" s="94"/>
      <c r="I90" s="94"/>
      <c r="J90" s="94"/>
      <c r="K90" s="94"/>
      <c r="L90" s="94"/>
      <c r="M90" s="94"/>
    </row>
    <row r="91" spans="2:13">
      <c r="B91" s="377" t="s">
        <v>564</v>
      </c>
      <c r="D91" s="29" t="s">
        <v>520</v>
      </c>
      <c r="E91" s="489">
        <f>SUM(E84,E89)</f>
        <v>137.88402199680002</v>
      </c>
      <c r="F91" s="489">
        <f t="shared" ref="F91:I91" si="11">SUM(F84,F89)</f>
        <v>139.484701</v>
      </c>
      <c r="G91" s="489">
        <f t="shared" si="11"/>
        <v>139.54993876</v>
      </c>
      <c r="H91" s="489">
        <f t="shared" si="11"/>
        <v>0</v>
      </c>
      <c r="I91" s="489">
        <f t="shared" si="11"/>
        <v>0</v>
      </c>
    </row>
    <row r="92" spans="2:13">
      <c r="B92" s="136"/>
      <c r="C92" s="136"/>
      <c r="D92" s="136"/>
    </row>
    <row r="93" spans="2:13">
      <c r="B93" s="452" t="s">
        <v>565</v>
      </c>
      <c r="C93" s="453"/>
      <c r="D93" s="361" t="s">
        <v>520</v>
      </c>
      <c r="E93" s="481">
        <f>E81-E84</f>
        <v>231.47471631999994</v>
      </c>
      <c r="F93" s="481">
        <f t="shared" ref="F93:I93" si="12">F81-F84</f>
        <v>289.45629454999994</v>
      </c>
      <c r="G93" s="481">
        <f t="shared" si="12"/>
        <v>363.83012925000014</v>
      </c>
      <c r="H93" s="481">
        <f t="shared" si="12"/>
        <v>0</v>
      </c>
      <c r="I93" s="481">
        <f t="shared" si="12"/>
        <v>0</v>
      </c>
    </row>
    <row r="94" spans="2:13">
      <c r="B94" s="454" t="s">
        <v>566</v>
      </c>
      <c r="D94" s="29" t="s">
        <v>520</v>
      </c>
      <c r="E94" s="489">
        <f>E82-E91</f>
        <v>226.53047207246243</v>
      </c>
      <c r="F94" s="489">
        <f t="shared" ref="F94:I94" si="13">F82-F91</f>
        <v>303.79061217762387</v>
      </c>
      <c r="G94" s="489">
        <f t="shared" si="13"/>
        <v>409.49137028666678</v>
      </c>
      <c r="H94" s="489">
        <f t="shared" si="13"/>
        <v>0</v>
      </c>
      <c r="I94" s="489">
        <f t="shared" si="13"/>
        <v>0</v>
      </c>
    </row>
    <row r="95" spans="2:13">
      <c r="B95" s="454"/>
      <c r="E95" s="455"/>
      <c r="F95" s="455"/>
      <c r="G95" s="455"/>
      <c r="H95" s="455"/>
      <c r="I95" s="456"/>
    </row>
    <row r="96" spans="2:13">
      <c r="B96" s="457" t="s">
        <v>567</v>
      </c>
      <c r="D96" s="29" t="s">
        <v>520</v>
      </c>
      <c r="E96" s="490">
        <f>'R5 - Financing'!D9</f>
        <v>161</v>
      </c>
      <c r="F96" s="490">
        <f>'R5 - Financing'!E9</f>
        <v>152</v>
      </c>
      <c r="G96" s="490">
        <f>'R5 - Financing'!F9</f>
        <v>156</v>
      </c>
      <c r="H96" s="490">
        <f>'R5 - Financing'!G9</f>
        <v>124.22678533797136</v>
      </c>
      <c r="I96" s="490">
        <f>'R5 - Financing'!H9</f>
        <v>147.46333095546345</v>
      </c>
    </row>
    <row r="97" spans="2:9">
      <c r="B97" s="458" t="s">
        <v>568</v>
      </c>
      <c r="D97" s="29" t="s">
        <v>520</v>
      </c>
      <c r="E97" s="490">
        <f>'R5 - Financing'!D29</f>
        <v>150.11148274048921</v>
      </c>
      <c r="F97" s="490">
        <f>'R5 - Financing'!E29</f>
        <v>208.07191043237219</v>
      </c>
      <c r="G97" s="490">
        <f>'R5 - Financing'!F29</f>
        <v>162.14071596536584</v>
      </c>
      <c r="H97" s="490">
        <f>'R5 - Financing'!G29</f>
        <v>123.04339307151285</v>
      </c>
      <c r="I97" s="490">
        <f>'R5 - Financing'!H29</f>
        <v>145.72447593391135</v>
      </c>
    </row>
    <row r="98" spans="2:9">
      <c r="B98" s="459" t="s">
        <v>569</v>
      </c>
      <c r="D98" s="29" t="s">
        <v>520</v>
      </c>
      <c r="E98" s="489">
        <f>E96-E97</f>
        <v>10.888517259510792</v>
      </c>
      <c r="F98" s="489">
        <f>F96-F97</f>
        <v>-56.071910432372192</v>
      </c>
      <c r="G98" s="489">
        <f>G96-G97</f>
        <v>-6.1407159653658425</v>
      </c>
      <c r="H98" s="489">
        <f>H96-H97</f>
        <v>1.1833922664585117</v>
      </c>
      <c r="I98" s="491">
        <f>I96-I97</f>
        <v>1.7388550215520979</v>
      </c>
    </row>
    <row r="99" spans="2:9">
      <c r="B99" s="454"/>
      <c r="E99" s="455"/>
      <c r="F99" s="455"/>
      <c r="G99" s="455"/>
      <c r="H99" s="455"/>
      <c r="I99" s="456"/>
    </row>
    <row r="100" spans="2:9">
      <c r="B100" s="457" t="s">
        <v>570</v>
      </c>
      <c r="D100" s="29" t="s">
        <v>520</v>
      </c>
      <c r="E100" s="439">
        <v>186.1</v>
      </c>
      <c r="F100" s="439">
        <v>35</v>
      </c>
      <c r="G100" s="439">
        <v>56.133678000000003</v>
      </c>
      <c r="H100" s="439"/>
      <c r="I100" s="439"/>
    </row>
    <row r="101" spans="2:9">
      <c r="B101" s="457" t="s">
        <v>571</v>
      </c>
      <c r="D101" s="29" t="s">
        <v>520</v>
      </c>
      <c r="E101" s="439">
        <v>-156.80000000000001</v>
      </c>
      <c r="F101" s="439">
        <v>-10.199999999999999</v>
      </c>
      <c r="G101" s="439">
        <v>-9.5177680000000002</v>
      </c>
      <c r="H101" s="439"/>
      <c r="I101" s="439"/>
    </row>
    <row r="102" spans="2:9">
      <c r="B102" s="457" t="s">
        <v>572</v>
      </c>
      <c r="D102" s="29" t="s">
        <v>520</v>
      </c>
      <c r="E102" s="481">
        <f>SUM(E100:E101)</f>
        <v>29.299999999999983</v>
      </c>
      <c r="F102" s="481">
        <f t="shared" ref="F102:I102" si="14">SUM(F100:F101)</f>
        <v>24.8</v>
      </c>
      <c r="G102" s="481">
        <f t="shared" si="14"/>
        <v>46.61591</v>
      </c>
      <c r="H102" s="481">
        <f t="shared" si="14"/>
        <v>0</v>
      </c>
      <c r="I102" s="481">
        <f t="shared" si="14"/>
        <v>0</v>
      </c>
    </row>
    <row r="103" spans="2:9">
      <c r="B103" s="458" t="s">
        <v>573</v>
      </c>
      <c r="D103" s="29" t="s">
        <v>520</v>
      </c>
      <c r="E103" s="490">
        <f>Adjusted_regulated_tax_liability</f>
        <v>24.200505813928217</v>
      </c>
      <c r="F103" s="490">
        <f>Adjusted_regulated_tax_liability</f>
        <v>24.046933380908399</v>
      </c>
      <c r="G103" s="490">
        <f>Adjusted_regulated_tax_liability</f>
        <v>52.365009999999998</v>
      </c>
      <c r="H103" s="490">
        <f>Adjusted_regulated_tax_liability</f>
        <v>15.995556086950337</v>
      </c>
      <c r="I103" s="490">
        <f>Adjusted_regulated_tax_liability</f>
        <v>42.713383434820088</v>
      </c>
    </row>
    <row r="104" spans="2:9">
      <c r="B104" s="459" t="s">
        <v>569</v>
      </c>
      <c r="D104" s="29" t="s">
        <v>520</v>
      </c>
      <c r="E104" s="492">
        <f>E102-E103</f>
        <v>5.099494186071766</v>
      </c>
      <c r="F104" s="492">
        <f t="shared" ref="F104:I104" si="15">F102-F103</f>
        <v>0.75306661909160155</v>
      </c>
      <c r="G104" s="492">
        <f t="shared" si="15"/>
        <v>-5.7490999999999985</v>
      </c>
      <c r="H104" s="492">
        <f t="shared" si="15"/>
        <v>-15.995556086950337</v>
      </c>
      <c r="I104" s="492">
        <f t="shared" si="15"/>
        <v>-42.713383434820088</v>
      </c>
    </row>
    <row r="105" spans="2:9">
      <c r="B105" s="460"/>
      <c r="E105" s="455"/>
      <c r="F105" s="455"/>
      <c r="G105" s="455"/>
      <c r="H105" s="455"/>
      <c r="I105" s="456"/>
    </row>
    <row r="106" spans="2:9">
      <c r="B106" s="461" t="s">
        <v>574</v>
      </c>
      <c r="D106" s="29" t="s">
        <v>520</v>
      </c>
      <c r="E106" s="481">
        <f>IFERROR(E93-E96-E100,0)</f>
        <v>-115.62528368000005</v>
      </c>
      <c r="F106" s="481">
        <f>IFERROR(F93-F96-F100,0)</f>
        <v>102.45629454999994</v>
      </c>
      <c r="G106" s="481">
        <f>IFERROR(G93-G96-G100,0)</f>
        <v>151.69645125000014</v>
      </c>
      <c r="H106" s="481">
        <f>IFERROR(H93-H96-H100,0)</f>
        <v>-124.22678533797136</v>
      </c>
      <c r="I106" s="481">
        <f>IFERROR(I93-I96-I100,0)</f>
        <v>-147.46333095546345</v>
      </c>
    </row>
    <row r="107" spans="2:9">
      <c r="B107" s="462" t="s">
        <v>575</v>
      </c>
      <c r="D107" s="29" t="s">
        <v>520</v>
      </c>
      <c r="E107" s="481">
        <f>IFERROR(E94-E97-E103,0)</f>
        <v>52.218483518045005</v>
      </c>
      <c r="F107" s="481">
        <f>IFERROR(F94-F97-F103,0)</f>
        <v>71.671768364343279</v>
      </c>
      <c r="G107" s="481">
        <f>IFERROR(G94-G97-G103,0)</f>
        <v>194.98564432130092</v>
      </c>
      <c r="H107" s="481">
        <f>IFERROR(H94-H97-H103,0)</f>
        <v>-139.0389491584632</v>
      </c>
      <c r="I107" s="481">
        <f>IFERROR(I94-I97-I103,0)</f>
        <v>-188.43785936873144</v>
      </c>
    </row>
    <row r="108" spans="2:9">
      <c r="B108" s="459" t="s">
        <v>569</v>
      </c>
      <c r="D108" s="29" t="s">
        <v>520</v>
      </c>
      <c r="E108" s="489">
        <f>IFERROR(E106-E107,0)</f>
        <v>-167.84376719804504</v>
      </c>
      <c r="F108" s="489">
        <f>IFERROR(F106-F107,0)</f>
        <v>30.784526185656659</v>
      </c>
      <c r="G108" s="489">
        <f>IFERROR(G106-G107,0)</f>
        <v>-43.289193071300787</v>
      </c>
      <c r="H108" s="489">
        <f>IFERROR(H106-H107,0)</f>
        <v>14.812163820491833</v>
      </c>
      <c r="I108" s="489">
        <f>IFERROR(I106-I107,0)</f>
        <v>40.97452841326799</v>
      </c>
    </row>
    <row r="109" spans="2:9">
      <c r="B109" s="460"/>
      <c r="C109" s="136"/>
      <c r="D109" s="136"/>
      <c r="I109" s="463"/>
    </row>
    <row r="110" spans="2:9">
      <c r="B110" s="464"/>
      <c r="C110" s="465"/>
      <c r="D110" s="228"/>
      <c r="E110" s="229"/>
      <c r="F110" s="228"/>
      <c r="G110" s="228"/>
      <c r="H110" s="228"/>
      <c r="I110" s="230"/>
    </row>
    <row r="111" spans="2:9">
      <c r="B111" s="136"/>
      <c r="D111" s="136"/>
    </row>
    <row r="112" spans="2:9">
      <c r="B112" s="136"/>
      <c r="C112" s="136"/>
      <c r="D112" s="136"/>
    </row>
    <row r="113" spans="2:9">
      <c r="B113" s="466"/>
      <c r="D113" s="136"/>
    </row>
    <row r="114" spans="2:9">
      <c r="B114" s="467" t="s">
        <v>576</v>
      </c>
      <c r="C114" s="136"/>
      <c r="D114" s="136"/>
    </row>
    <row r="115" spans="2:9">
      <c r="B115" s="1423"/>
      <c r="C115" s="1424"/>
      <c r="D115" s="1424"/>
      <c r="E115" s="1424"/>
      <c r="F115" s="1424"/>
      <c r="G115" s="468"/>
      <c r="H115" s="468"/>
      <c r="I115" s="469"/>
    </row>
    <row r="116" spans="2:9">
      <c r="B116" s="470"/>
      <c r="C116" s="471"/>
      <c r="D116" s="472"/>
      <c r="E116" s="473"/>
      <c r="F116" s="473"/>
      <c r="G116" s="473"/>
      <c r="H116" s="473"/>
      <c r="I116" s="474"/>
    </row>
    <row r="117" spans="2:9">
      <c r="B117" s="470"/>
      <c r="C117" s="471"/>
      <c r="D117" s="472"/>
      <c r="E117" s="473"/>
      <c r="F117" s="473"/>
      <c r="G117" s="473"/>
      <c r="H117" s="473"/>
      <c r="I117" s="474"/>
    </row>
    <row r="118" spans="2:9">
      <c r="B118" s="470"/>
      <c r="C118" s="471"/>
      <c r="D118" s="472"/>
      <c r="E118" s="473"/>
      <c r="F118" s="473"/>
      <c r="G118" s="473"/>
      <c r="H118" s="473"/>
      <c r="I118" s="474"/>
    </row>
    <row r="119" spans="2:9">
      <c r="B119" s="470"/>
      <c r="C119" s="471"/>
      <c r="D119" s="472"/>
      <c r="E119" s="473"/>
      <c r="F119" s="473"/>
      <c r="G119" s="473"/>
      <c r="H119" s="473"/>
      <c r="I119" s="474"/>
    </row>
    <row r="120" spans="2:9">
      <c r="B120" s="475"/>
      <c r="C120" s="476"/>
      <c r="D120" s="477"/>
      <c r="E120" s="478"/>
      <c r="F120" s="478"/>
      <c r="G120" s="478"/>
      <c r="H120" s="478"/>
      <c r="I120" s="479"/>
    </row>
    <row r="122" spans="2:9" ht="13.5" customHeight="1"/>
    <row r="128" spans="2:9" ht="15" customHeight="1"/>
    <row r="142" ht="91.5" customHeight="1"/>
  </sheetData>
  <sheetProtection insertRows="0" autoFilter="0" pivotTables="0"/>
  <mergeCells count="1">
    <mergeCell ref="B115:F115"/>
  </mergeCells>
  <conditionalFormatting sqref="C36">
    <cfRule type="expression" dxfId="120" priority="69">
      <formula>C$5="Forecast"</formula>
    </cfRule>
  </conditionalFormatting>
  <conditionalFormatting sqref="E6:H6">
    <cfRule type="expression" dxfId="119" priority="36">
      <formula>AND(E$5="Actuals",F$5="Forecast")</formula>
    </cfRule>
  </conditionalFormatting>
  <conditionalFormatting sqref="E66:H66">
    <cfRule type="expression" dxfId="118" priority="39">
      <formula>AND(E$5="Actuals",F$5="N/A")</formula>
    </cfRule>
  </conditionalFormatting>
  <conditionalFormatting sqref="E7:I7">
    <cfRule type="expression" dxfId="117" priority="38">
      <formula>AND(E$5="Actuals",F$5="Forecast")</formula>
    </cfRule>
  </conditionalFormatting>
  <conditionalFormatting sqref="E15:I15 E21:I21 H25:I25 E37:I37 E56:I56 E58:I58 E66:I66 E68:I69 E72:I72 E88:I89 E91:I91 E93:I94 E96:I98 E102:I104 H13:I14 E18:I19 H16:I17 H28:I36 H40:I55 E60:I60 H59:I59 F87:I87 H100:I101">
    <cfRule type="expression" dxfId="116" priority="33">
      <formula>E$5="Forecast"</formula>
    </cfRule>
  </conditionalFormatting>
  <conditionalFormatting sqref="H25:I25">
    <cfRule type="expression" priority="21">
      <formula>H$5="Forecast"</formula>
    </cfRule>
    <cfRule type="expression" priority="22">
      <formula>$E3="Forecast"</formula>
    </cfRule>
  </conditionalFormatting>
  <conditionalFormatting sqref="H28:I36 H40:I55">
    <cfRule type="expression" priority="34">
      <formula>H$5="Forecast"</formula>
    </cfRule>
  </conditionalFormatting>
  <conditionalFormatting sqref="H28:I36">
    <cfRule type="expression" priority="35">
      <formula>$E6="Forecast"</formula>
    </cfRule>
  </conditionalFormatting>
  <conditionalFormatting sqref="E60:I60">
    <cfRule type="expression" dxfId="115" priority="73">
      <formula>E$5="Forecast"</formula>
    </cfRule>
  </conditionalFormatting>
  <conditionalFormatting sqref="E68:I70 E72:I72 F87:I87">
    <cfRule type="expression" dxfId="114" priority="65">
      <formula>D$12="N/A"</formula>
    </cfRule>
  </conditionalFormatting>
  <conditionalFormatting sqref="E75:I76">
    <cfRule type="expression" dxfId="113" priority="25">
      <formula>E$5="Forecast"</formula>
    </cfRule>
  </conditionalFormatting>
  <conditionalFormatting sqref="E78:I78">
    <cfRule type="expression" dxfId="112" priority="20">
      <formula>D$12="N/A"</formula>
    </cfRule>
  </conditionalFormatting>
  <conditionalFormatting sqref="E78:I79">
    <cfRule type="expression" dxfId="111" priority="19">
      <formula>E$5="Forecast"</formula>
    </cfRule>
  </conditionalFormatting>
  <conditionalFormatting sqref="E84:I84">
    <cfRule type="expression" dxfId="110" priority="17">
      <formula>E$5="Forecast"</formula>
    </cfRule>
    <cfRule type="expression" dxfId="109" priority="18">
      <formula>D$12="N/A"</formula>
    </cfRule>
  </conditionalFormatting>
  <conditionalFormatting sqref="E106:I108">
    <cfRule type="expression" dxfId="108" priority="31">
      <formula>E$5="Forecast"</formula>
    </cfRule>
  </conditionalFormatting>
  <conditionalFormatting sqref="I6">
    <cfRule type="expression" dxfId="107" priority="37">
      <formula>AND(I$5="Actuals",#REF!="Forecast")</formula>
    </cfRule>
  </conditionalFormatting>
  <conditionalFormatting sqref="I66">
    <cfRule type="expression" dxfId="106" priority="251">
      <formula>AND(I$5="Actuals",#REF!="N/A")</formula>
    </cfRule>
  </conditionalFormatting>
  <conditionalFormatting sqref="E13:G14">
    <cfRule type="expression" dxfId="105" priority="16">
      <formula>E$5="Forecast"</formula>
    </cfRule>
  </conditionalFormatting>
  <conditionalFormatting sqref="E16:G17">
    <cfRule type="expression" dxfId="104" priority="15">
      <formula>E$5="Forecast"</formula>
    </cfRule>
  </conditionalFormatting>
  <conditionalFormatting sqref="E25:G25">
    <cfRule type="expression" dxfId="103" priority="14">
      <formula>E$5="Forecast"</formula>
    </cfRule>
  </conditionalFormatting>
  <conditionalFormatting sqref="E25:G25">
    <cfRule type="expression" priority="12">
      <formula>E$5="Forecast"</formula>
    </cfRule>
    <cfRule type="expression" priority="13">
      <formula>$E3="Forecast"</formula>
    </cfRule>
  </conditionalFormatting>
  <conditionalFormatting sqref="E28:G36">
    <cfRule type="expression" dxfId="102" priority="9">
      <formula>E$5="Forecast"</formula>
    </cfRule>
  </conditionalFormatting>
  <conditionalFormatting sqref="E28:G36">
    <cfRule type="expression" priority="10">
      <formula>E$5="Forecast"</formula>
    </cfRule>
  </conditionalFormatting>
  <conditionalFormatting sqref="E28:G36">
    <cfRule type="expression" priority="11">
      <formula>$E6="Forecast"</formula>
    </cfRule>
  </conditionalFormatting>
  <conditionalFormatting sqref="E49:G55">
    <cfRule type="expression" dxfId="101" priority="7">
      <formula>E$5="Forecast"</formula>
    </cfRule>
  </conditionalFormatting>
  <conditionalFormatting sqref="E49:G55">
    <cfRule type="expression" priority="8">
      <formula>E$5="Forecast"</formula>
    </cfRule>
  </conditionalFormatting>
  <conditionalFormatting sqref="E40:G48">
    <cfRule type="expression" dxfId="100" priority="5">
      <formula>E$5="Forecast"</formula>
    </cfRule>
  </conditionalFormatting>
  <conditionalFormatting sqref="E40:G48">
    <cfRule type="expression" priority="6">
      <formula>E$5="Forecast"</formula>
    </cfRule>
  </conditionalFormatting>
  <conditionalFormatting sqref="E59:G59">
    <cfRule type="expression" dxfId="99" priority="4">
      <formula>E$5="Forecast"</formula>
    </cfRule>
  </conditionalFormatting>
  <conditionalFormatting sqref="E87">
    <cfRule type="expression" dxfId="98" priority="2">
      <formula>E$5="Forecast"</formula>
    </cfRule>
  </conditionalFormatting>
  <conditionalFormatting sqref="E87">
    <cfRule type="expression" dxfId="97" priority="3">
      <formula>D$12="N/A"</formula>
    </cfRule>
  </conditionalFormatting>
  <conditionalFormatting sqref="E100:G101">
    <cfRule type="expression" dxfId="96" priority="1">
      <formula>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F64DC2A1-1BFC-4A45-BEAE-BCD4DDABF2EA}">
            <xm:f>'RFPR cover'!$C$7="ESO"</xm:f>
            <x14:dxf>
              <fill>
                <patternFill>
                  <fgColor auto="1"/>
                  <bgColor theme="7" tint="0.79998168889431442"/>
                </patternFill>
              </fill>
            </x14:dxf>
          </x14:cfRule>
          <xm:sqref>H25:I25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4"/>
  <sheetViews>
    <sheetView zoomScaleNormal="100" workbookViewId="0"/>
  </sheetViews>
  <sheetFormatPr defaultColWidth="9.15234375" defaultRowHeight="13.5"/>
  <cols>
    <col min="1" max="1" width="8.3828125" style="377" customWidth="1"/>
    <col min="2" max="2" width="64.4609375" style="427" customWidth="1"/>
    <col min="3" max="3" width="13.3828125" style="29" customWidth="1"/>
    <col min="4" max="8" width="11.15234375" style="377" customWidth="1"/>
    <col min="9" max="10" width="12.84375" style="377" customWidth="1"/>
    <col min="11" max="16384" width="9.15234375" style="377"/>
  </cols>
  <sheetData>
    <row r="1" spans="1:19" s="136" customFormat="1" ht="20">
      <c r="A1" s="362" t="s">
        <v>577</v>
      </c>
      <c r="B1" s="363"/>
      <c r="C1" s="493"/>
      <c r="D1" s="365"/>
      <c r="E1" s="365"/>
      <c r="F1" s="365"/>
      <c r="G1" s="365"/>
      <c r="H1" s="365"/>
      <c r="I1" s="366"/>
      <c r="J1" s="366"/>
      <c r="K1" s="494"/>
    </row>
    <row r="2" spans="1:19" s="136" customFormat="1" ht="20">
      <c r="A2" s="367" t="str">
        <f>Licensee</f>
        <v>SGN - Southern</v>
      </c>
      <c r="B2" s="368"/>
      <c r="C2" s="424"/>
      <c r="D2" s="370"/>
      <c r="E2" s="370"/>
      <c r="F2" s="370"/>
      <c r="G2" s="370"/>
      <c r="H2" s="370"/>
      <c r="I2" s="371"/>
      <c r="J2" s="371"/>
      <c r="K2" s="372"/>
    </row>
    <row r="3" spans="1:19" s="136" customFormat="1" ht="20">
      <c r="A3" s="369">
        <f>Reporting_Year</f>
        <v>2024</v>
      </c>
      <c r="B3" s="425"/>
      <c r="C3" s="426"/>
      <c r="D3" s="373"/>
      <c r="E3" s="373"/>
      <c r="F3" s="373"/>
      <c r="G3" s="373"/>
      <c r="H3" s="373"/>
      <c r="I3" s="374"/>
      <c r="J3" s="374"/>
      <c r="K3" s="375"/>
    </row>
    <row r="4" spans="1:19" ht="12.75" customHeight="1"/>
    <row r="5" spans="1:19" ht="30" customHeight="1">
      <c r="D5" s="376" t="str">
        <f>IF(D6&lt;=Reporting_Year,"Actuals","Forecast")</f>
        <v>Actuals</v>
      </c>
      <c r="E5" s="376" t="str">
        <f t="shared" ref="E5:H5" si="0">IF(E6&lt;=Reporting_Year,"Actuals","Forecast")</f>
        <v>Actuals</v>
      </c>
      <c r="F5" s="376" t="str">
        <f t="shared" si="0"/>
        <v>Actuals</v>
      </c>
      <c r="G5" s="376" t="str">
        <f t="shared" si="0"/>
        <v>Forecast</v>
      </c>
      <c r="H5" s="376" t="str">
        <f t="shared" si="0"/>
        <v>Forecast</v>
      </c>
    </row>
    <row r="6" spans="1:19" ht="27.75" customHeight="1">
      <c r="D6" s="495">
        <f>'RFPR cover'!$C$6</f>
        <v>2022</v>
      </c>
      <c r="E6" s="496">
        <f>D6+1</f>
        <v>2023</v>
      </c>
      <c r="F6" s="496">
        <f t="shared" ref="F6:H6" si="1">E6+1</f>
        <v>2024</v>
      </c>
      <c r="G6" s="496">
        <f t="shared" si="1"/>
        <v>2025</v>
      </c>
      <c r="H6" s="496">
        <f t="shared" si="1"/>
        <v>2026</v>
      </c>
      <c r="I6" s="380" t="str">
        <f>"Cumulative to "&amp;'RFPR cover'!$C$9</f>
        <v>Cumulative to 2024</v>
      </c>
      <c r="J6" s="497" t="s">
        <v>481</v>
      </c>
    </row>
    <row r="7" spans="1:19">
      <c r="D7" s="381" t="str">
        <f>RIIO_2_start_date-1&amp;"/"&amp;RIGHT(RIIO_2_start_date,2)</f>
        <v>2021/22</v>
      </c>
      <c r="E7" s="381" t="str">
        <f>RIIO_2_start_date&amp;"/"&amp;RIGHT(RIIO_2_start_date+1,2)</f>
        <v>2022/23</v>
      </c>
      <c r="F7" s="381" t="str">
        <f>RIIO_2_start_date+1&amp;"/"&amp;RIGHT(RIIO_2_start_date+2,2)</f>
        <v>2023/24</v>
      </c>
      <c r="G7" s="381" t="str">
        <f>RIIO_2_start_date+2&amp;"/"&amp;RIGHT(RIIO_2_start_date+3,2)</f>
        <v>2024/25</v>
      </c>
      <c r="H7" s="381" t="str">
        <f>RIIO_2_start_date+3&amp;"/"&amp;RIGHT(RIIO_2_start_date+4,2)</f>
        <v>2025/26</v>
      </c>
    </row>
    <row r="8" spans="1:19">
      <c r="B8" s="498" t="s">
        <v>578</v>
      </c>
      <c r="C8" s="499"/>
      <c r="D8" s="499"/>
      <c r="E8" s="499"/>
      <c r="F8" s="499"/>
      <c r="G8" s="499"/>
      <c r="H8" s="500"/>
      <c r="I8" s="500"/>
      <c r="J8" s="500"/>
      <c r="K8" s="427"/>
    </row>
    <row r="9" spans="1:19">
      <c r="B9" s="501" t="s">
        <v>579</v>
      </c>
      <c r="C9" s="502"/>
      <c r="D9" s="502"/>
      <c r="E9" s="502"/>
      <c r="F9" s="502"/>
      <c r="G9" s="502"/>
      <c r="H9" s="502"/>
      <c r="I9" s="502"/>
      <c r="J9" s="502"/>
      <c r="K9" s="427"/>
      <c r="L9" s="427"/>
    </row>
    <row r="11" spans="1:19">
      <c r="B11" s="503" t="str">
        <f>IF(Sector="GD2","Capitalisation 1 totex (excluding repex)","Capitalisation 1 totex")</f>
        <v>Capitalisation 1 totex (excluding repex)</v>
      </c>
      <c r="C11" s="504"/>
      <c r="D11" s="432"/>
      <c r="E11" s="432"/>
      <c r="F11" s="432"/>
      <c r="G11" s="432"/>
      <c r="H11" s="432"/>
      <c r="I11" s="432"/>
      <c r="J11" s="432"/>
      <c r="K11" s="427"/>
    </row>
    <row r="12" spans="1:19">
      <c r="B12" s="434"/>
      <c r="D12" s="505"/>
      <c r="E12" s="505"/>
      <c r="F12" s="505"/>
      <c r="G12" s="505"/>
      <c r="H12" s="505"/>
      <c r="I12" s="505"/>
      <c r="J12" s="505"/>
      <c r="K12" s="427"/>
    </row>
    <row r="13" spans="1:19">
      <c r="B13" s="94" t="s">
        <v>580</v>
      </c>
      <c r="C13" s="506" t="str">
        <f>Data!$C$9</f>
        <v>£m 18/19</v>
      </c>
      <c r="D13" s="1329">
        <v>152.90532644050708</v>
      </c>
      <c r="E13" s="1329">
        <v>191.42176596073983</v>
      </c>
      <c r="F13" s="1329">
        <v>231.74425512623054</v>
      </c>
      <c r="G13" s="1329">
        <v>265.45882187330892</v>
      </c>
      <c r="H13" s="1329">
        <v>206.27908530682373</v>
      </c>
      <c r="I13" s="535">
        <f>SUM(D13:INDEX(D13:H13,0,MATCH('RFPR cover'!$C$9,$D$6:$H$6,0)))</f>
        <v>576.07134752747743</v>
      </c>
      <c r="J13" s="536">
        <f>SUM(D13:H13)</f>
        <v>1047.8092547076101</v>
      </c>
      <c r="K13" s="427"/>
    </row>
    <row r="14" spans="1:19" ht="17.149999999999999" customHeight="1">
      <c r="B14" s="507" t="s">
        <v>581</v>
      </c>
      <c r="C14" s="506" t="str">
        <f>Data!$C$9</f>
        <v>£m 18/19</v>
      </c>
      <c r="D14" s="1329">
        <v>188.73222124430475</v>
      </c>
      <c r="E14" s="1329">
        <v>195.47507067783846</v>
      </c>
      <c r="F14" s="1329">
        <v>196.72432970026654</v>
      </c>
      <c r="G14" s="1329">
        <v>190.14831592939856</v>
      </c>
      <c r="H14" s="1329">
        <v>187.7192957650829</v>
      </c>
      <c r="I14" s="537">
        <f>SUM(D14:INDEX(D14:H14,0,MATCH('RFPR cover'!$C$9,$D$6:$H$6,0)))</f>
        <v>580.93162162240969</v>
      </c>
      <c r="J14" s="538">
        <f>SUM(D14:H14)</f>
        <v>958.7992333168911</v>
      </c>
      <c r="K14" s="508"/>
    </row>
    <row r="15" spans="1:19">
      <c r="B15" s="92" t="s">
        <v>582</v>
      </c>
      <c r="C15" s="506" t="str">
        <f>Data!$C$9</f>
        <v>£m 18/19</v>
      </c>
      <c r="D15" s="534">
        <f>D14-D13</f>
        <v>35.826894803797671</v>
      </c>
      <c r="E15" s="534">
        <f>E14-E13</f>
        <v>4.0533047170986265</v>
      </c>
      <c r="F15" s="534">
        <f t="shared" ref="F15:J15" si="2">F14-F13</f>
        <v>-35.019925425964004</v>
      </c>
      <c r="G15" s="534">
        <f t="shared" si="2"/>
        <v>-75.310505943910357</v>
      </c>
      <c r="H15" s="534">
        <f t="shared" si="2"/>
        <v>-18.559789541740827</v>
      </c>
      <c r="I15" s="21">
        <f t="shared" si="2"/>
        <v>4.8602740949322651</v>
      </c>
      <c r="J15" s="23">
        <f t="shared" si="2"/>
        <v>-89.010021390718975</v>
      </c>
      <c r="K15" s="1425"/>
      <c r="L15" s="1425"/>
      <c r="M15" s="1425"/>
      <c r="N15" s="158"/>
      <c r="O15" s="158"/>
      <c r="P15" s="158"/>
      <c r="Q15" s="136"/>
      <c r="R15" s="136"/>
      <c r="S15" s="136"/>
    </row>
    <row r="16" spans="1:19">
      <c r="B16" s="92"/>
      <c r="C16" s="506"/>
      <c r="D16" s="509"/>
      <c r="E16" s="509"/>
      <c r="F16" s="509"/>
      <c r="G16" s="509"/>
      <c r="H16" s="509"/>
      <c r="I16" s="509"/>
      <c r="J16" s="509"/>
      <c r="K16" s="510"/>
      <c r="L16" s="510"/>
      <c r="M16" s="510"/>
      <c r="N16" s="510"/>
      <c r="O16" s="510"/>
      <c r="P16" s="510"/>
      <c r="Q16" s="136"/>
      <c r="R16" s="136"/>
      <c r="S16" s="136"/>
    </row>
    <row r="17" spans="2:19">
      <c r="B17" s="427" t="s">
        <v>583</v>
      </c>
      <c r="C17" s="29" t="s">
        <v>484</v>
      </c>
      <c r="D17" s="539">
        <f>INDEX(Data!$C$63:$C$91,MATCH('RFPR cover'!$C$7,Data!$B$63:$B$91,0),0)</f>
        <v>0.5</v>
      </c>
      <c r="E17" s="539">
        <f>INDEX(Data!$C$63:$C$91,MATCH('RFPR cover'!$C$7,Data!$B$63:$B$91,0),0)</f>
        <v>0.5</v>
      </c>
      <c r="F17" s="539">
        <f>INDEX(Data!$C$63:$C$91,MATCH('RFPR cover'!$C$7,Data!$B$63:$B$91,0),0)</f>
        <v>0.5</v>
      </c>
      <c r="G17" s="539">
        <f>INDEX(Data!$C$63:$C$91,MATCH('RFPR cover'!$C$7,Data!$B$63:$B$91,0),0)</f>
        <v>0.5</v>
      </c>
      <c r="H17" s="539">
        <f>INDEX(Data!$C$63:$C$91,MATCH('RFPR cover'!$C$7,Data!$B$63:$B$91,0),0)</f>
        <v>0.5</v>
      </c>
      <c r="I17" s="511"/>
      <c r="J17" s="511"/>
      <c r="K17" s="136"/>
      <c r="L17" s="136"/>
      <c r="M17" s="136"/>
      <c r="N17" s="136"/>
      <c r="O17" s="136"/>
      <c r="P17" s="136"/>
      <c r="Q17" s="136"/>
      <c r="R17" s="136"/>
      <c r="S17" s="136"/>
    </row>
    <row r="18" spans="2:19">
      <c r="K18" s="136"/>
      <c r="L18" s="136"/>
      <c r="M18" s="136"/>
      <c r="N18" s="136"/>
      <c r="O18" s="136"/>
      <c r="P18" s="136"/>
      <c r="Q18" s="136"/>
      <c r="R18" s="136"/>
      <c r="S18" s="136"/>
    </row>
    <row r="19" spans="2:19">
      <c r="B19" s="427" t="s">
        <v>584</v>
      </c>
      <c r="C19" s="506" t="str">
        <f>Data!$C$9</f>
        <v>£m 18/19</v>
      </c>
      <c r="D19" s="534">
        <f>D15*D17</f>
        <v>17.913447401898836</v>
      </c>
      <c r="E19" s="534">
        <f t="shared" ref="E19:H19" si="3">E15*E17</f>
        <v>2.0266523585493132</v>
      </c>
      <c r="F19" s="534">
        <f t="shared" si="3"/>
        <v>-17.509962712982002</v>
      </c>
      <c r="G19" s="534">
        <f t="shared" si="3"/>
        <v>-37.655252971955179</v>
      </c>
      <c r="H19" s="534">
        <f t="shared" si="3"/>
        <v>-9.2798947708704134</v>
      </c>
      <c r="I19" s="18">
        <f>SUM(D19:INDEX(D19:H19,0,MATCH('RFPR cover'!$C$9,$D$6:$H$6,0)))</f>
        <v>2.4301370474661468</v>
      </c>
      <c r="J19" s="20">
        <f>SUM(D19:H19)</f>
        <v>-44.505010695359445</v>
      </c>
      <c r="K19" s="136"/>
      <c r="L19" s="136"/>
      <c r="M19" s="136"/>
      <c r="N19" s="136"/>
      <c r="O19" s="136"/>
      <c r="P19" s="136"/>
      <c r="Q19" s="136"/>
      <c r="R19" s="136"/>
      <c r="S19" s="136"/>
    </row>
    <row r="20" spans="2:19">
      <c r="B20" s="427" t="s">
        <v>585</v>
      </c>
      <c r="C20" s="506" t="str">
        <f>Data!$C$9</f>
        <v>£m 18/19</v>
      </c>
      <c r="D20" s="534">
        <f>D15*(1-D17)</f>
        <v>17.913447401898836</v>
      </c>
      <c r="E20" s="534">
        <f t="shared" ref="E20:H20" si="4">E15*(1-E17)</f>
        <v>2.0266523585493132</v>
      </c>
      <c r="F20" s="534">
        <f t="shared" si="4"/>
        <v>-17.509962712982002</v>
      </c>
      <c r="G20" s="534">
        <f t="shared" si="4"/>
        <v>-37.655252971955179</v>
      </c>
      <c r="H20" s="534">
        <f t="shared" si="4"/>
        <v>-9.2798947708704134</v>
      </c>
      <c r="I20" s="15">
        <f>SUM(D20:INDEX(D20:H20,0,MATCH('RFPR cover'!$C$9,$D$6:$H$6,0)))</f>
        <v>2.4301370474661468</v>
      </c>
      <c r="J20" s="17">
        <f>SUM(D20:H20)</f>
        <v>-44.505010695359445</v>
      </c>
      <c r="L20" s="136"/>
      <c r="M20" s="136"/>
      <c r="N20" s="136"/>
      <c r="O20" s="136"/>
      <c r="P20" s="136"/>
      <c r="Q20" s="136"/>
      <c r="R20" s="136"/>
      <c r="S20" s="136"/>
    </row>
    <row r="21" spans="2:19">
      <c r="C21" s="427"/>
      <c r="D21" s="427"/>
      <c r="E21" s="427"/>
      <c r="F21" s="427"/>
      <c r="G21" s="427"/>
      <c r="H21" s="427"/>
      <c r="I21" s="427"/>
      <c r="J21" s="427"/>
      <c r="L21" s="136"/>
      <c r="M21" s="136"/>
      <c r="N21" s="136"/>
      <c r="O21" s="136"/>
      <c r="P21" s="136"/>
      <c r="Q21" s="136"/>
      <c r="R21" s="136"/>
      <c r="S21" s="136"/>
    </row>
    <row r="22" spans="2:19">
      <c r="B22" s="434" t="s">
        <v>586</v>
      </c>
      <c r="L22" s="136"/>
      <c r="M22" s="136"/>
      <c r="N22" s="136"/>
      <c r="O22" s="136"/>
      <c r="P22" s="136"/>
    </row>
    <row r="23" spans="2:19">
      <c r="B23" s="1331" t="s">
        <v>1141</v>
      </c>
      <c r="C23" s="506" t="str">
        <f>Data!$C$9</f>
        <v>£m 18/19</v>
      </c>
      <c r="D23" s="1330">
        <v>-2</v>
      </c>
      <c r="E23" s="1330">
        <v>-2.5</v>
      </c>
      <c r="F23" s="1330">
        <v>1.7</v>
      </c>
      <c r="G23" s="1330">
        <v>2.8</v>
      </c>
      <c r="H23" s="1330"/>
      <c r="I23" s="15">
        <f>SUM(D23:INDEX(D23:H23,0,MATCH('RFPR cover'!$C$9,$D$6:$H$6,0)))</f>
        <v>-2.8</v>
      </c>
      <c r="J23" s="17">
        <f t="shared" ref="J23:J28" si="5">SUM(D23:H23)</f>
        <v>0</v>
      </c>
      <c r="L23" s="136"/>
      <c r="M23" s="136"/>
      <c r="N23" s="136"/>
      <c r="O23" s="136"/>
      <c r="P23" s="136"/>
      <c r="Q23" s="136"/>
      <c r="R23" s="136"/>
      <c r="S23" s="136"/>
    </row>
    <row r="24" spans="2:19">
      <c r="B24" s="1331" t="s">
        <v>1142</v>
      </c>
      <c r="C24" s="506" t="str">
        <f>Data!$C$9</f>
        <v>£m 18/19</v>
      </c>
      <c r="D24" s="1330">
        <v>-3</v>
      </c>
      <c r="E24" s="1330">
        <v>-1</v>
      </c>
      <c r="F24" s="1330">
        <v>3</v>
      </c>
      <c r="G24" s="1330">
        <v>1</v>
      </c>
      <c r="H24" s="1330"/>
      <c r="I24" s="15">
        <f>SUM(D24:INDEX(D24:H24,0,MATCH('RFPR cover'!$C$9,$D$6:$H$6,0)))</f>
        <v>-1</v>
      </c>
      <c r="J24" s="17">
        <f t="shared" si="5"/>
        <v>0</v>
      </c>
      <c r="L24" s="136"/>
      <c r="M24" s="136"/>
      <c r="N24" s="136"/>
      <c r="O24" s="136"/>
      <c r="P24" s="136"/>
      <c r="Q24" s="136"/>
      <c r="R24" s="136"/>
      <c r="S24" s="136"/>
    </row>
    <row r="25" spans="2:19">
      <c r="B25" s="1331" t="s">
        <v>1143</v>
      </c>
      <c r="C25" s="506" t="str">
        <f>Data!$C$9</f>
        <v>£m 18/19</v>
      </c>
      <c r="D25" s="1330">
        <v>-2.17</v>
      </c>
      <c r="E25" s="1330">
        <v>-1.5</v>
      </c>
      <c r="F25" s="1330">
        <v>3.2</v>
      </c>
      <c r="G25" s="1330">
        <v>-1</v>
      </c>
      <c r="H25" s="1330">
        <v>1.5</v>
      </c>
      <c r="I25" s="15">
        <f>SUM(D25:INDEX(D25:H25,0,MATCH('RFPR cover'!$C$9,$D$6:$H$6,0)))</f>
        <v>-0.46999999999999975</v>
      </c>
      <c r="J25" s="17">
        <f t="shared" si="5"/>
        <v>3.0000000000000249E-2</v>
      </c>
      <c r="L25" s="136"/>
      <c r="M25" s="136"/>
      <c r="N25" s="136"/>
      <c r="O25" s="136"/>
      <c r="P25" s="136"/>
      <c r="Q25" s="136"/>
      <c r="R25" s="136"/>
      <c r="S25" s="136"/>
    </row>
    <row r="26" spans="2:19">
      <c r="B26" s="1331" t="s">
        <v>1144</v>
      </c>
      <c r="C26" s="506" t="str">
        <f>Data!$C$9</f>
        <v>£m 18/19</v>
      </c>
      <c r="D26" s="1330">
        <v>-3.6</v>
      </c>
      <c r="E26" s="1330">
        <v>2</v>
      </c>
      <c r="F26" s="1330">
        <v>1</v>
      </c>
      <c r="G26" s="1330">
        <v>0.6</v>
      </c>
      <c r="H26" s="1330"/>
      <c r="I26" s="15">
        <f>SUM(D26:INDEX(D26:H26,0,MATCH('RFPR cover'!$C$9,$D$6:$H$6,0)))</f>
        <v>-0.60000000000000009</v>
      </c>
      <c r="J26" s="17">
        <f t="shared" si="5"/>
        <v>0</v>
      </c>
      <c r="L26" s="136"/>
      <c r="M26" s="136"/>
      <c r="N26" s="136"/>
      <c r="O26" s="136"/>
      <c r="P26" s="136"/>
      <c r="Q26" s="136"/>
      <c r="R26" s="136"/>
      <c r="S26" s="136"/>
    </row>
    <row r="27" spans="2:19">
      <c r="B27" s="1331" t="s">
        <v>1145</v>
      </c>
      <c r="C27" s="506" t="str">
        <f>Data!$C$9</f>
        <v>£m 18/19</v>
      </c>
      <c r="D27" s="1330">
        <v>-6.8</v>
      </c>
      <c r="E27" s="1330">
        <v>-3</v>
      </c>
      <c r="F27" s="1330">
        <v>3.5</v>
      </c>
      <c r="G27" s="1330">
        <v>4</v>
      </c>
      <c r="H27" s="1330">
        <v>2.2999999999999998</v>
      </c>
      <c r="I27" s="15">
        <f>SUM(D27:INDEX(D27:H27,0,MATCH('RFPR cover'!$C$9,$D$6:$H$6,0)))</f>
        <v>-6.3000000000000007</v>
      </c>
      <c r="J27" s="17">
        <f t="shared" si="5"/>
        <v>0</v>
      </c>
      <c r="L27" s="136"/>
      <c r="M27" s="136"/>
      <c r="N27" s="136"/>
      <c r="O27" s="136"/>
      <c r="P27" s="136"/>
      <c r="Q27" s="136"/>
      <c r="R27" s="136"/>
      <c r="S27" s="136"/>
    </row>
    <row r="28" spans="2:19">
      <c r="B28" s="1331" t="s">
        <v>1146</v>
      </c>
      <c r="C28" s="506" t="str">
        <f>Data!$C$9</f>
        <v>£m 18/19</v>
      </c>
      <c r="D28" s="1330">
        <v>-1.5</v>
      </c>
      <c r="E28" s="1330">
        <v>-4</v>
      </c>
      <c r="F28" s="1330">
        <v>2.5</v>
      </c>
      <c r="G28" s="1330">
        <v>3</v>
      </c>
      <c r="H28" s="1330"/>
      <c r="I28" s="15">
        <f>SUM(D28:INDEX(D28:H28,0,MATCH('RFPR cover'!$C$9,$D$6:$H$6,0)))</f>
        <v>-3</v>
      </c>
      <c r="J28" s="17">
        <f t="shared" si="5"/>
        <v>0</v>
      </c>
      <c r="L28" s="136"/>
      <c r="M28" s="136"/>
      <c r="N28" s="136"/>
      <c r="O28" s="136"/>
      <c r="P28" s="136"/>
      <c r="Q28" s="136"/>
      <c r="R28" s="136"/>
      <c r="S28" s="136"/>
    </row>
    <row r="29" spans="2:19">
      <c r="B29" s="1331" t="s">
        <v>588</v>
      </c>
      <c r="C29" s="506" t="str">
        <f>Data!$C$9</f>
        <v>£m 18/19</v>
      </c>
      <c r="D29" s="1330"/>
      <c r="E29" s="1330"/>
      <c r="F29" s="1330"/>
      <c r="G29" s="1330"/>
      <c r="H29" s="1330"/>
      <c r="I29" s="15">
        <f>SUM(D29:INDEX(D29:H29,0,MATCH('RFPR cover'!$C$9,$D$6:$H$6,0)))</f>
        <v>0</v>
      </c>
      <c r="J29" s="17">
        <f t="shared" ref="J29" si="6">SUM(D29:H29)</f>
        <v>0</v>
      </c>
      <c r="L29" s="136"/>
      <c r="M29" s="136"/>
      <c r="N29" s="136"/>
      <c r="O29" s="136"/>
      <c r="P29" s="136"/>
      <c r="Q29" s="136"/>
      <c r="R29" s="136"/>
      <c r="S29" s="136"/>
    </row>
    <row r="30" spans="2:19">
      <c r="B30" s="434" t="s">
        <v>589</v>
      </c>
      <c r="C30" s="506" t="str">
        <f>Data!$C$9</f>
        <v>£m 18/19</v>
      </c>
      <c r="D30" s="534">
        <f>SUM(D23:D29)</f>
        <v>-19.07</v>
      </c>
      <c r="E30" s="534">
        <f t="shared" ref="E30:H30" si="7">SUM(E23:E29)</f>
        <v>-10</v>
      </c>
      <c r="F30" s="534">
        <f t="shared" si="7"/>
        <v>14.9</v>
      </c>
      <c r="G30" s="534">
        <f t="shared" si="7"/>
        <v>10.4</v>
      </c>
      <c r="H30" s="534">
        <f t="shared" si="7"/>
        <v>3.8</v>
      </c>
      <c r="I30" s="15">
        <f>SUM(D30:INDEX(D30:H30,0,MATCH('RFPR cover'!$C$9,$D$6:$H$6,0)))</f>
        <v>-14.17</v>
      </c>
      <c r="J30" s="17">
        <f t="shared" ref="J30" si="8">SUM(D30:H30)</f>
        <v>3.0000000000000249E-2</v>
      </c>
      <c r="L30" s="136"/>
      <c r="M30" s="136"/>
      <c r="N30" s="136"/>
      <c r="O30" s="136"/>
      <c r="P30" s="136"/>
      <c r="Q30" s="136"/>
      <c r="R30" s="136"/>
      <c r="S30" s="136"/>
    </row>
    <row r="31" spans="2:19">
      <c r="B31" s="434"/>
      <c r="L31" s="136"/>
      <c r="M31" s="136"/>
      <c r="N31" s="136"/>
      <c r="O31" s="136"/>
      <c r="P31" s="136"/>
      <c r="Q31" s="136"/>
      <c r="R31" s="136"/>
      <c r="S31" s="136"/>
    </row>
    <row r="32" spans="2:19">
      <c r="B32" s="434" t="s">
        <v>590</v>
      </c>
      <c r="L32" s="136"/>
      <c r="M32" s="136"/>
      <c r="N32" s="136"/>
      <c r="O32" s="136"/>
      <c r="P32" s="136"/>
      <c r="Q32" s="136"/>
      <c r="R32" s="136"/>
      <c r="S32" s="136"/>
    </row>
    <row r="33" spans="2:19">
      <c r="B33" s="440" t="s">
        <v>587</v>
      </c>
      <c r="C33" s="506" t="str">
        <f>Data!$C$9</f>
        <v>£m 18/19</v>
      </c>
      <c r="D33" s="512"/>
      <c r="E33" s="512"/>
      <c r="F33" s="512"/>
      <c r="G33" s="512"/>
      <c r="H33" s="512"/>
      <c r="I33" s="15">
        <f>SUM(D33:INDEX(D33:H33,0,MATCH('RFPR cover'!$C$9,$D$6:$H$6,0)))</f>
        <v>0</v>
      </c>
      <c r="J33" s="17">
        <f>SUM(D33:H33)</f>
        <v>0</v>
      </c>
      <c r="L33" s="136"/>
      <c r="M33" s="136"/>
      <c r="N33" s="136"/>
      <c r="O33" s="136"/>
      <c r="P33" s="136"/>
      <c r="Q33" s="136"/>
      <c r="R33" s="136"/>
      <c r="S33" s="136"/>
    </row>
    <row r="34" spans="2:19">
      <c r="B34" s="440" t="s">
        <v>588</v>
      </c>
      <c r="C34" s="506" t="str">
        <f>Data!$C$9</f>
        <v>£m 18/19</v>
      </c>
      <c r="D34" s="512"/>
      <c r="E34" s="512"/>
      <c r="F34" s="512"/>
      <c r="G34" s="512"/>
      <c r="H34" s="512"/>
      <c r="I34" s="15">
        <f>SUM(D34:INDEX(D34:H34,0,MATCH('RFPR cover'!$C$9,$D$6:$H$6,0)))</f>
        <v>0</v>
      </c>
      <c r="J34" s="17">
        <f t="shared" ref="J34:J35" si="9">SUM(D34:H34)</f>
        <v>0</v>
      </c>
      <c r="L34" s="136"/>
      <c r="M34" s="136"/>
      <c r="N34" s="136"/>
      <c r="O34" s="136"/>
      <c r="P34" s="136"/>
      <c r="Q34" s="136"/>
      <c r="R34" s="136"/>
      <c r="S34" s="136"/>
    </row>
    <row r="35" spans="2:19">
      <c r="B35" s="434" t="s">
        <v>589</v>
      </c>
      <c r="C35" s="506" t="str">
        <f>Data!$C$9</f>
        <v>£m 18/19</v>
      </c>
      <c r="D35" s="534">
        <f>SUM(D33:D34)</f>
        <v>0</v>
      </c>
      <c r="E35" s="534">
        <f t="shared" ref="E35:H35" si="10">SUM(E33:E34)</f>
        <v>0</v>
      </c>
      <c r="F35" s="534">
        <f t="shared" si="10"/>
        <v>0</v>
      </c>
      <c r="G35" s="534">
        <f t="shared" si="10"/>
        <v>0</v>
      </c>
      <c r="H35" s="534">
        <f t="shared" si="10"/>
        <v>0</v>
      </c>
      <c r="I35" s="15">
        <f>SUM(D35:INDEX(D35:H35,0,MATCH('RFPR cover'!$C$9,$D$6:$H$6,0)))</f>
        <v>0</v>
      </c>
      <c r="J35" s="17">
        <f t="shared" si="9"/>
        <v>0</v>
      </c>
      <c r="L35" s="136"/>
      <c r="M35" s="136"/>
      <c r="N35" s="136"/>
      <c r="O35" s="136"/>
      <c r="P35" s="136"/>
      <c r="Q35" s="136"/>
      <c r="R35" s="136"/>
      <c r="S35" s="136"/>
    </row>
    <row r="36" spans="2:19">
      <c r="B36" s="434"/>
      <c r="L36" s="136"/>
      <c r="M36" s="136"/>
      <c r="N36" s="136"/>
      <c r="O36" s="136"/>
      <c r="P36" s="136"/>
      <c r="Q36" s="136"/>
      <c r="R36" s="136"/>
      <c r="S36" s="136"/>
    </row>
    <row r="37" spans="2:19">
      <c r="B37" s="427" t="s">
        <v>591</v>
      </c>
      <c r="C37" s="506" t="str">
        <f>Data!$C$9</f>
        <v>£m 18/19</v>
      </c>
      <c r="D37" s="534">
        <f>D30*D17</f>
        <v>-9.5350000000000001</v>
      </c>
      <c r="E37" s="534">
        <f t="shared" ref="E37:H37" si="11">E30*E17</f>
        <v>-5</v>
      </c>
      <c r="F37" s="534">
        <f t="shared" si="11"/>
        <v>7.45</v>
      </c>
      <c r="G37" s="534">
        <f t="shared" si="11"/>
        <v>5.2</v>
      </c>
      <c r="H37" s="534">
        <f t="shared" si="11"/>
        <v>1.9</v>
      </c>
      <c r="I37" s="18">
        <f>SUM(D37:INDEX(D37:H37,0,MATCH('RFPR cover'!$C$9,$D$6:$H$6,0)))</f>
        <v>-7.085</v>
      </c>
      <c r="J37" s="20">
        <f>SUM(D37:H37)</f>
        <v>1.5000000000000124E-2</v>
      </c>
      <c r="L37" s="136"/>
      <c r="M37" s="136"/>
      <c r="N37" s="136"/>
      <c r="O37" s="136"/>
      <c r="P37" s="136"/>
      <c r="Q37" s="136"/>
      <c r="R37" s="136"/>
      <c r="S37" s="136"/>
    </row>
    <row r="38" spans="2:19">
      <c r="B38" s="427" t="s">
        <v>592</v>
      </c>
      <c r="C38" s="506" t="str">
        <f>Data!$C$9</f>
        <v>£m 18/19</v>
      </c>
      <c r="D38" s="534">
        <f>D30*(1-D17)+D35</f>
        <v>-9.5350000000000001</v>
      </c>
      <c r="E38" s="534">
        <f t="shared" ref="E38:H38" si="12">E30*(1-E17)+E35</f>
        <v>-5</v>
      </c>
      <c r="F38" s="534">
        <f t="shared" si="12"/>
        <v>7.45</v>
      </c>
      <c r="G38" s="534">
        <f t="shared" si="12"/>
        <v>5.2</v>
      </c>
      <c r="H38" s="534">
        <f t="shared" si="12"/>
        <v>1.9</v>
      </c>
      <c r="I38" s="18">
        <f>SUM(D38:INDEX(D38:H38,0,MATCH('RFPR cover'!$C$9,$D$6:$H$6,0)))</f>
        <v>-7.085</v>
      </c>
      <c r="J38" s="17">
        <f>SUM(D38:H38)</f>
        <v>1.5000000000000124E-2</v>
      </c>
      <c r="L38" s="136"/>
      <c r="M38" s="136"/>
      <c r="N38" s="136"/>
      <c r="O38" s="136"/>
      <c r="P38" s="136"/>
      <c r="Q38" s="136"/>
      <c r="R38" s="136"/>
      <c r="S38" s="136"/>
    </row>
    <row r="39" spans="2:19">
      <c r="B39" s="434"/>
      <c r="L39" s="136"/>
      <c r="M39" s="136"/>
      <c r="N39" s="136"/>
      <c r="O39" s="136"/>
      <c r="P39" s="136"/>
      <c r="Q39" s="136"/>
      <c r="R39" s="136"/>
      <c r="S39" s="136"/>
    </row>
    <row r="40" spans="2:19">
      <c r="B40" s="434" t="s">
        <v>593</v>
      </c>
      <c r="L40" s="136"/>
      <c r="M40" s="136"/>
      <c r="N40" s="136"/>
      <c r="O40" s="136"/>
      <c r="P40" s="136"/>
      <c r="Q40" s="136"/>
      <c r="R40" s="136"/>
      <c r="S40" s="136"/>
    </row>
    <row r="41" spans="2:19">
      <c r="B41" s="427" t="s">
        <v>584</v>
      </c>
      <c r="C41" s="506" t="str">
        <f>Data!$C$9</f>
        <v>£m 18/19</v>
      </c>
      <c r="D41" s="534">
        <f>D19+D37</f>
        <v>8.3784474018988355</v>
      </c>
      <c r="E41" s="534">
        <f t="shared" ref="E41:H41" si="13">E19+E37</f>
        <v>-2.9733476414506868</v>
      </c>
      <c r="F41" s="534">
        <f t="shared" si="13"/>
        <v>-10.059962712982003</v>
      </c>
      <c r="G41" s="534">
        <f t="shared" si="13"/>
        <v>-32.455252971955176</v>
      </c>
      <c r="H41" s="534">
        <f t="shared" si="13"/>
        <v>-7.379894770870413</v>
      </c>
      <c r="I41" s="18">
        <f>SUM(D41:INDEX(D41:H41,0,MATCH('RFPR cover'!$C$9,$D$6:$H$6,0)))</f>
        <v>-4.6548629525338541</v>
      </c>
      <c r="J41" s="20">
        <f>SUM(D41:H41)</f>
        <v>-44.490010695359445</v>
      </c>
      <c r="L41" s="136"/>
      <c r="M41" s="136"/>
      <c r="N41" s="136"/>
      <c r="O41" s="136"/>
      <c r="P41" s="136"/>
      <c r="Q41" s="136"/>
      <c r="R41" s="136"/>
      <c r="S41" s="136"/>
    </row>
    <row r="42" spans="2:19">
      <c r="B42" s="427" t="s">
        <v>585</v>
      </c>
      <c r="C42" s="506" t="str">
        <f>Data!$C$9</f>
        <v>£m 18/19</v>
      </c>
      <c r="D42" s="534">
        <f>D20+D38</f>
        <v>8.3784474018988355</v>
      </c>
      <c r="E42" s="534">
        <f t="shared" ref="E42:H42" si="14">E20+E38</f>
        <v>-2.9733476414506868</v>
      </c>
      <c r="F42" s="534">
        <f t="shared" si="14"/>
        <v>-10.059962712982003</v>
      </c>
      <c r="G42" s="534">
        <f t="shared" si="14"/>
        <v>-32.455252971955176</v>
      </c>
      <c r="H42" s="534">
        <f t="shared" si="14"/>
        <v>-7.379894770870413</v>
      </c>
      <c r="I42" s="18">
        <f>SUM(D42:INDEX(D42:H42,0,MATCH('RFPR cover'!$C$9,$D$6:$H$6,0)))</f>
        <v>-4.6548629525338541</v>
      </c>
      <c r="J42" s="17">
        <f t="shared" ref="J42" si="15">SUM(D42:H42)</f>
        <v>-44.490010695359445</v>
      </c>
      <c r="L42" s="136"/>
      <c r="M42" s="136"/>
      <c r="N42" s="136"/>
      <c r="O42" s="136"/>
      <c r="P42" s="136"/>
      <c r="Q42" s="136"/>
      <c r="R42" s="136"/>
      <c r="S42" s="136"/>
    </row>
    <row r="43" spans="2:19">
      <c r="B43" s="434" t="s">
        <v>594</v>
      </c>
      <c r="C43" s="513" t="str">
        <f>Data!$C$9</f>
        <v>£m 18/19</v>
      </c>
      <c r="D43" s="534">
        <f>SUM(D41:D42)</f>
        <v>16.756894803797671</v>
      </c>
      <c r="E43" s="534">
        <f t="shared" ref="E43:H43" si="16">SUM(E41:E42)</f>
        <v>-5.9466952829013735</v>
      </c>
      <c r="F43" s="534">
        <f t="shared" si="16"/>
        <v>-20.119925425964006</v>
      </c>
      <c r="G43" s="534">
        <f t="shared" si="16"/>
        <v>-64.910505943910351</v>
      </c>
      <c r="H43" s="534">
        <f t="shared" si="16"/>
        <v>-14.759789541740826</v>
      </c>
      <c r="I43" s="15">
        <f>SUM(D43:INDEX(D43:H43,0,MATCH('RFPR cover'!$C$9,$D$6:$H$6,0)))</f>
        <v>-9.3097259050677081</v>
      </c>
      <c r="J43" s="17">
        <f t="shared" ref="J43" si="17">SUM(D43:H43)</f>
        <v>-88.980021390718889</v>
      </c>
      <c r="L43" s="136"/>
      <c r="M43" s="136"/>
      <c r="N43" s="136"/>
      <c r="O43" s="136"/>
      <c r="P43" s="136"/>
      <c r="Q43" s="136"/>
      <c r="R43" s="136"/>
      <c r="S43" s="136"/>
    </row>
    <row r="44" spans="2:19">
      <c r="B44" s="434"/>
      <c r="L44" s="136"/>
      <c r="M44" s="136"/>
      <c r="N44" s="136"/>
      <c r="O44" s="136"/>
      <c r="P44" s="136"/>
      <c r="Q44" s="136"/>
      <c r="R44" s="136"/>
      <c r="S44" s="136"/>
    </row>
    <row r="45" spans="2:19">
      <c r="B45" s="503" t="str">
        <f>IF(Sector="GD2","Capitalisation 2 totex (excluding repex)","Capitalisation 2 totex")</f>
        <v>Capitalisation 2 totex (excluding repex)</v>
      </c>
      <c r="C45" s="430"/>
      <c r="D45" s="432"/>
      <c r="E45" s="432"/>
      <c r="F45" s="432"/>
      <c r="G45" s="432"/>
      <c r="H45" s="432"/>
      <c r="I45" s="432"/>
      <c r="J45" s="432"/>
    </row>
    <row r="46" spans="2:19">
      <c r="D46" s="505"/>
      <c r="E46" s="505"/>
      <c r="F46" s="505"/>
      <c r="G46" s="505"/>
      <c r="H46" s="505"/>
      <c r="I46" s="505"/>
      <c r="J46" s="505"/>
    </row>
    <row r="47" spans="2:19">
      <c r="B47" s="94" t="s">
        <v>580</v>
      </c>
      <c r="C47" s="506" t="str">
        <f>Data!$C$9</f>
        <v>£m 18/19</v>
      </c>
      <c r="D47" s="1329">
        <v>6.95871570102</v>
      </c>
      <c r="E47" s="1329">
        <v>7.9760346417000001</v>
      </c>
      <c r="F47" s="1329">
        <v>8.5017582751523193</v>
      </c>
      <c r="G47" s="1329">
        <v>17.216209254178466</v>
      </c>
      <c r="H47" s="1329">
        <v>18.539072805182617</v>
      </c>
      <c r="I47" s="540">
        <f>SUM(D47:INDEX(D47:H47,0,MATCH('RFPR cover'!$C$9,$D$6:$H$6,0)))</f>
        <v>23.43650861787232</v>
      </c>
      <c r="J47" s="541">
        <f>SUM(D47:H47)</f>
        <v>59.191790677233399</v>
      </c>
      <c r="K47" s="508"/>
    </row>
    <row r="48" spans="2:19" ht="15" customHeight="1">
      <c r="B48" s="507" t="s">
        <v>595</v>
      </c>
      <c r="C48" s="506" t="str">
        <f>Data!$C$9</f>
        <v>£m 18/19</v>
      </c>
      <c r="D48" s="1329">
        <v>7.136628359572466</v>
      </c>
      <c r="E48" s="1329">
        <v>8.073627263703937</v>
      </c>
      <c r="F48" s="1329">
        <v>8.5024624640158688</v>
      </c>
      <c r="G48" s="1329">
        <v>17.219773740829694</v>
      </c>
      <c r="H48" s="1329">
        <v>18.557757988755405</v>
      </c>
      <c r="I48" s="542">
        <f>SUM(D48:INDEX(D48:H48,0,MATCH('RFPR cover'!$C$9,$D$6:$H$6,0)))</f>
        <v>23.712718087292274</v>
      </c>
      <c r="J48" s="543">
        <f>SUM(D48:H48)</f>
        <v>59.490249816877373</v>
      </c>
      <c r="K48" s="508"/>
    </row>
    <row r="49" spans="2:19">
      <c r="B49" s="92" t="s">
        <v>582</v>
      </c>
      <c r="C49" s="506" t="str">
        <f>Data!$C$9</f>
        <v>£m 18/19</v>
      </c>
      <c r="D49" s="534">
        <f>D48-D47</f>
        <v>0.17791265855246596</v>
      </c>
      <c r="E49" s="534">
        <f t="shared" ref="E49:J49" si="18">E48-E47</f>
        <v>9.7592622003936924E-2</v>
      </c>
      <c r="F49" s="534">
        <f t="shared" si="18"/>
        <v>7.0418886354950416E-4</v>
      </c>
      <c r="G49" s="534">
        <f t="shared" si="18"/>
        <v>3.5644866512285489E-3</v>
      </c>
      <c r="H49" s="534">
        <f t="shared" si="18"/>
        <v>1.8685183572788588E-2</v>
      </c>
      <c r="I49" s="175">
        <f t="shared" si="18"/>
        <v>0.27620946941995328</v>
      </c>
      <c r="J49" s="262">
        <f t="shared" si="18"/>
        <v>0.29845913964397397</v>
      </c>
      <c r="K49" s="158"/>
      <c r="L49" s="158"/>
      <c r="M49" s="158"/>
      <c r="N49" s="158"/>
      <c r="O49" s="158"/>
      <c r="P49" s="158"/>
      <c r="Q49" s="136"/>
      <c r="R49" s="136"/>
      <c r="S49" s="136"/>
    </row>
    <row r="50" spans="2:19">
      <c r="B50" s="92"/>
      <c r="C50" s="506"/>
      <c r="D50" s="509"/>
      <c r="E50" s="509"/>
      <c r="F50" s="509"/>
      <c r="G50" s="509"/>
      <c r="H50" s="509"/>
      <c r="I50" s="509"/>
      <c r="J50" s="509"/>
      <c r="K50" s="510"/>
      <c r="L50" s="510"/>
      <c r="M50" s="510"/>
      <c r="N50" s="510"/>
      <c r="O50" s="510"/>
      <c r="P50" s="510"/>
      <c r="Q50" s="136"/>
      <c r="R50" s="136"/>
      <c r="S50" s="136"/>
    </row>
    <row r="51" spans="2:19">
      <c r="B51" s="427" t="s">
        <v>583</v>
      </c>
      <c r="C51" s="29" t="s">
        <v>484</v>
      </c>
      <c r="D51" s="544">
        <f>INDEX(Data!$C$63:$C$91,MATCH('RFPR cover'!$C$7,Data!$B$63:$B$91,0),0)</f>
        <v>0.5</v>
      </c>
      <c r="E51" s="544">
        <f>INDEX(Data!$C$63:$C$91,MATCH('RFPR cover'!$C$7,Data!$B$63:$B$91,0),0)</f>
        <v>0.5</v>
      </c>
      <c r="F51" s="544">
        <f>INDEX(Data!$C$63:$C$91,MATCH('RFPR cover'!$C$7,Data!$B$63:$B$91,0),0)</f>
        <v>0.5</v>
      </c>
      <c r="G51" s="544">
        <f>INDEX(Data!$C$63:$C$91,MATCH('RFPR cover'!$C$7,Data!$B$63:$B$91,0),0)</f>
        <v>0.5</v>
      </c>
      <c r="H51" s="544">
        <f>INDEX(Data!$C$63:$C$91,MATCH('RFPR cover'!$C$7,Data!$B$63:$B$91,0),0)</f>
        <v>0.5</v>
      </c>
      <c r="I51" s="511"/>
      <c r="J51" s="511"/>
      <c r="K51" s="136"/>
      <c r="L51" s="136"/>
      <c r="M51" s="136"/>
      <c r="N51" s="136"/>
      <c r="O51" s="136"/>
      <c r="P51" s="136"/>
      <c r="Q51" s="136"/>
      <c r="R51" s="136"/>
      <c r="S51" s="136"/>
    </row>
    <row r="52" spans="2:19">
      <c r="K52" s="136"/>
      <c r="L52" s="136"/>
      <c r="M52" s="136"/>
      <c r="N52" s="136"/>
      <c r="O52" s="136"/>
      <c r="P52" s="136"/>
      <c r="Q52" s="136"/>
      <c r="R52" s="136"/>
      <c r="S52" s="136"/>
    </row>
    <row r="53" spans="2:19">
      <c r="B53" s="427" t="s">
        <v>584</v>
      </c>
      <c r="C53" s="506" t="str">
        <f>Data!$C$9</f>
        <v>£m 18/19</v>
      </c>
      <c r="D53" s="534">
        <f>D49*D51</f>
        <v>8.8956329276232982E-2</v>
      </c>
      <c r="E53" s="534">
        <f t="shared" ref="E53:H53" si="19">E49*E51</f>
        <v>4.8796311001968462E-2</v>
      </c>
      <c r="F53" s="534">
        <f t="shared" si="19"/>
        <v>3.5209443177475208E-4</v>
      </c>
      <c r="G53" s="534">
        <f t="shared" si="19"/>
        <v>1.7822433256142745E-3</v>
      </c>
      <c r="H53" s="534">
        <f t="shared" si="19"/>
        <v>9.3425917863942942E-3</v>
      </c>
      <c r="I53" s="54">
        <f>SUM(D53:INDEX(D53:H53,0,MATCH('RFPR cover'!$C$9,$D$6:$H$6,0)))</f>
        <v>0.1381047347099762</v>
      </c>
      <c r="J53" s="88">
        <f>SUM(D53:H53)</f>
        <v>0.14922956982198476</v>
      </c>
      <c r="K53" s="136"/>
      <c r="L53" s="136"/>
      <c r="M53" s="136"/>
      <c r="N53" s="136"/>
      <c r="O53" s="136"/>
      <c r="P53" s="136"/>
      <c r="Q53" s="136"/>
      <c r="R53" s="136"/>
      <c r="S53" s="136"/>
    </row>
    <row r="54" spans="2:19">
      <c r="B54" s="427" t="s">
        <v>585</v>
      </c>
      <c r="C54" s="506" t="str">
        <f>Data!$C$9</f>
        <v>£m 18/19</v>
      </c>
      <c r="D54" s="534">
        <f>D49*(1-D51)</f>
        <v>8.8956329276232982E-2</v>
      </c>
      <c r="E54" s="534">
        <f t="shared" ref="E54:H54" si="20">E49*(1-E51)</f>
        <v>4.8796311001968462E-2</v>
      </c>
      <c r="F54" s="534">
        <f t="shared" si="20"/>
        <v>3.5209443177475208E-4</v>
      </c>
      <c r="G54" s="534">
        <f t="shared" si="20"/>
        <v>1.7822433256142745E-3</v>
      </c>
      <c r="H54" s="534">
        <f t="shared" si="20"/>
        <v>9.3425917863942942E-3</v>
      </c>
      <c r="I54" s="89">
        <f>SUM(D54:INDEX(D54:H54,0,MATCH('RFPR cover'!$C$9,$D$6:$H$6,0)))</f>
        <v>0.1381047347099762</v>
      </c>
      <c r="J54" s="90">
        <f>SUM(D54:H54)</f>
        <v>0.14922956982198476</v>
      </c>
      <c r="K54" s="136"/>
      <c r="L54" s="136"/>
      <c r="M54" s="136"/>
      <c r="N54" s="136"/>
      <c r="O54" s="136"/>
      <c r="P54" s="136"/>
      <c r="Q54" s="136"/>
      <c r="R54" s="136"/>
      <c r="S54" s="136"/>
    </row>
    <row r="55" spans="2:19">
      <c r="K55" s="136"/>
      <c r="L55" s="136"/>
      <c r="M55" s="136"/>
      <c r="N55" s="136"/>
      <c r="O55" s="136"/>
      <c r="P55" s="136"/>
      <c r="Q55" s="136"/>
      <c r="R55" s="136"/>
      <c r="S55" s="136"/>
    </row>
    <row r="56" spans="2:19">
      <c r="B56" s="434" t="s">
        <v>586</v>
      </c>
      <c r="K56" s="136"/>
      <c r="L56" s="136"/>
      <c r="M56" s="136"/>
      <c r="N56" s="136"/>
      <c r="O56" s="136"/>
      <c r="P56" s="136"/>
      <c r="Q56" s="136"/>
      <c r="R56" s="136"/>
      <c r="S56" s="136"/>
    </row>
    <row r="57" spans="2:19">
      <c r="B57" s="440" t="s">
        <v>587</v>
      </c>
      <c r="C57" s="506" t="str">
        <f>Data!$C$9</f>
        <v>£m 18/19</v>
      </c>
      <c r="D57" s="1330"/>
      <c r="E57" s="1330"/>
      <c r="F57" s="1330"/>
      <c r="G57" s="1330"/>
      <c r="H57" s="1330"/>
      <c r="I57" s="15">
        <f>SUM(D57:INDEX(D57:H57,0,MATCH('RFPR cover'!$C$9,$D$6:$H$6,0)))</f>
        <v>0</v>
      </c>
      <c r="J57" s="17">
        <f>SUM(D57:H57)</f>
        <v>0</v>
      </c>
      <c r="K57" s="136"/>
      <c r="L57" s="136"/>
      <c r="M57" s="136"/>
      <c r="N57" s="136"/>
      <c r="O57" s="136"/>
      <c r="P57" s="136"/>
      <c r="Q57" s="136"/>
      <c r="R57" s="136"/>
      <c r="S57" s="136"/>
    </row>
    <row r="58" spans="2:19">
      <c r="B58" s="440" t="s">
        <v>588</v>
      </c>
      <c r="C58" s="506" t="str">
        <f>Data!$C$9</f>
        <v>£m 18/19</v>
      </c>
      <c r="D58" s="1330"/>
      <c r="E58" s="1330"/>
      <c r="F58" s="1330"/>
      <c r="G58" s="1330"/>
      <c r="H58" s="1330"/>
      <c r="I58" s="15">
        <f>SUM(D58:INDEX(D58:H58,0,MATCH('RFPR cover'!$C$9,$D$6:$H$6,0)))</f>
        <v>0</v>
      </c>
      <c r="J58" s="17">
        <f t="shared" ref="J58:J59" si="21">SUM(D58:H58)</f>
        <v>0</v>
      </c>
      <c r="K58" s="136"/>
      <c r="L58" s="136"/>
      <c r="M58" s="136"/>
      <c r="N58" s="136"/>
      <c r="O58" s="136"/>
      <c r="P58" s="136"/>
      <c r="Q58" s="136"/>
      <c r="R58" s="136"/>
      <c r="S58" s="136"/>
    </row>
    <row r="59" spans="2:19">
      <c r="B59" s="434" t="s">
        <v>589</v>
      </c>
      <c r="C59" s="506" t="str">
        <f>Data!$C$9</f>
        <v>£m 18/19</v>
      </c>
      <c r="D59" s="534">
        <f>SUM(D57:D58)</f>
        <v>0</v>
      </c>
      <c r="E59" s="534">
        <f t="shared" ref="E59" si="22">SUM(E57:E58)</f>
        <v>0</v>
      </c>
      <c r="F59" s="534">
        <f t="shared" ref="F59" si="23">SUM(F57:F58)</f>
        <v>0</v>
      </c>
      <c r="G59" s="534">
        <f t="shared" ref="G59" si="24">SUM(G57:G58)</f>
        <v>0</v>
      </c>
      <c r="H59" s="534">
        <f t="shared" ref="H59" si="25">SUM(H57:H58)</f>
        <v>0</v>
      </c>
      <c r="I59" s="15">
        <f>SUM(D59:INDEX(D59:H59,0,MATCH('RFPR cover'!$C$9,$D$6:$H$6,0)))</f>
        <v>0</v>
      </c>
      <c r="J59" s="17">
        <f t="shared" si="21"/>
        <v>0</v>
      </c>
      <c r="K59" s="434"/>
      <c r="L59" s="434"/>
      <c r="M59" s="434"/>
      <c r="N59" s="434"/>
      <c r="O59" s="434"/>
      <c r="P59" s="434"/>
      <c r="Q59" s="434"/>
      <c r="R59" s="136"/>
      <c r="S59" s="136"/>
    </row>
    <row r="60" spans="2:19">
      <c r="B60" s="434"/>
      <c r="C60" s="434"/>
      <c r="D60" s="434"/>
      <c r="E60" s="434"/>
      <c r="F60" s="434"/>
      <c r="G60" s="434"/>
      <c r="H60" s="434"/>
      <c r="I60" s="434"/>
      <c r="J60" s="434"/>
      <c r="K60" s="434"/>
      <c r="L60" s="434"/>
      <c r="M60" s="434"/>
      <c r="N60" s="434"/>
      <c r="O60" s="434"/>
      <c r="P60" s="434"/>
      <c r="Q60" s="434"/>
      <c r="R60" s="136"/>
      <c r="S60" s="136"/>
    </row>
    <row r="61" spans="2:19">
      <c r="B61" s="434" t="s">
        <v>590</v>
      </c>
      <c r="K61" s="434"/>
      <c r="L61" s="434"/>
      <c r="M61" s="434"/>
      <c r="N61" s="434"/>
      <c r="O61" s="434"/>
      <c r="P61" s="434"/>
      <c r="Q61" s="434"/>
      <c r="R61" s="136"/>
      <c r="S61" s="136"/>
    </row>
    <row r="62" spans="2:19">
      <c r="B62" s="440" t="s">
        <v>587</v>
      </c>
      <c r="C62" s="506" t="str">
        <f>Data!$C$9</f>
        <v>£m 18/19</v>
      </c>
      <c r="D62" s="512"/>
      <c r="E62" s="512"/>
      <c r="F62" s="512"/>
      <c r="G62" s="512"/>
      <c r="H62" s="512"/>
      <c r="I62" s="15">
        <f>SUM(D62:INDEX(D62:H62,0,MATCH('RFPR cover'!$C$9,$D$6:$H$6,0)))</f>
        <v>0</v>
      </c>
      <c r="J62" s="17">
        <f>SUM(D62:H62)</f>
        <v>0</v>
      </c>
      <c r="K62" s="434"/>
      <c r="L62" s="434"/>
      <c r="M62" s="434"/>
      <c r="N62" s="434"/>
      <c r="O62" s="434"/>
      <c r="P62" s="434"/>
      <c r="Q62" s="434"/>
      <c r="R62" s="136"/>
      <c r="S62" s="136"/>
    </row>
    <row r="63" spans="2:19">
      <c r="B63" s="440" t="s">
        <v>588</v>
      </c>
      <c r="C63" s="506" t="str">
        <f>Data!$C$9</f>
        <v>£m 18/19</v>
      </c>
      <c r="D63" s="512"/>
      <c r="E63" s="512"/>
      <c r="F63" s="512"/>
      <c r="G63" s="512"/>
      <c r="H63" s="512"/>
      <c r="I63" s="15">
        <f>SUM(D63:INDEX(D63:H63,0,MATCH('RFPR cover'!$C$9,$D$6:$H$6,0)))</f>
        <v>0</v>
      </c>
      <c r="J63" s="17">
        <f t="shared" ref="J63:J64" si="26">SUM(D63:H63)</f>
        <v>0</v>
      </c>
      <c r="K63" s="434"/>
      <c r="L63" s="434"/>
      <c r="M63" s="434"/>
      <c r="N63" s="434"/>
      <c r="O63" s="434"/>
      <c r="P63" s="434"/>
      <c r="Q63" s="434"/>
      <c r="R63" s="136"/>
      <c r="S63" s="136"/>
    </row>
    <row r="64" spans="2:19">
      <c r="B64" s="434" t="s">
        <v>589</v>
      </c>
      <c r="C64" s="506" t="str">
        <f>Data!$C$9</f>
        <v>£m 18/19</v>
      </c>
      <c r="D64" s="534">
        <f>SUM(D62:D63)</f>
        <v>0</v>
      </c>
      <c r="E64" s="534">
        <f t="shared" ref="E64:H64" si="27">SUM(E62:E63)</f>
        <v>0</v>
      </c>
      <c r="F64" s="534">
        <f t="shared" si="27"/>
        <v>0</v>
      </c>
      <c r="G64" s="534">
        <f t="shared" si="27"/>
        <v>0</v>
      </c>
      <c r="H64" s="534">
        <f t="shared" si="27"/>
        <v>0</v>
      </c>
      <c r="I64" s="15">
        <f>SUM(D64:INDEX(D64:H64,0,MATCH('RFPR cover'!$C$9,$D$6:$H$6,0)))</f>
        <v>0</v>
      </c>
      <c r="J64" s="17">
        <f t="shared" si="26"/>
        <v>0</v>
      </c>
      <c r="K64" s="434"/>
      <c r="L64" s="434"/>
      <c r="M64" s="434"/>
      <c r="N64" s="434"/>
      <c r="O64" s="434"/>
      <c r="P64" s="434"/>
      <c r="Q64" s="434"/>
      <c r="R64" s="136"/>
      <c r="S64" s="136"/>
    </row>
    <row r="65" spans="2:20">
      <c r="B65" s="434"/>
      <c r="C65" s="434"/>
      <c r="D65" s="434"/>
      <c r="E65" s="434"/>
      <c r="F65" s="434"/>
      <c r="G65" s="434"/>
      <c r="H65" s="434"/>
      <c r="I65" s="434"/>
      <c r="J65" s="434"/>
      <c r="K65" s="434"/>
      <c r="L65" s="434"/>
      <c r="M65" s="434"/>
      <c r="N65" s="434"/>
      <c r="O65" s="434"/>
      <c r="P65" s="434"/>
      <c r="Q65" s="434"/>
      <c r="R65" s="136"/>
      <c r="S65" s="136"/>
    </row>
    <row r="66" spans="2:20">
      <c r="B66" s="427" t="s">
        <v>591</v>
      </c>
      <c r="C66" s="506" t="str">
        <f>Data!$C$9</f>
        <v>£m 18/19</v>
      </c>
      <c r="D66" s="534">
        <f>D59*D51</f>
        <v>0</v>
      </c>
      <c r="E66" s="534">
        <f t="shared" ref="E66:H66" si="28">E59*E51</f>
        <v>0</v>
      </c>
      <c r="F66" s="534">
        <f t="shared" si="28"/>
        <v>0</v>
      </c>
      <c r="G66" s="534">
        <f t="shared" si="28"/>
        <v>0</v>
      </c>
      <c r="H66" s="534">
        <f t="shared" si="28"/>
        <v>0</v>
      </c>
      <c r="I66" s="18">
        <f>SUM(D66:INDEX(D66:H66,0,MATCH('RFPR cover'!$C$9,$D$6:$H$6,0)))</f>
        <v>0</v>
      </c>
      <c r="J66" s="20">
        <f>SUM(D66:H66)</f>
        <v>0</v>
      </c>
      <c r="K66" s="434"/>
      <c r="L66" s="434"/>
      <c r="M66" s="434"/>
      <c r="N66" s="434"/>
      <c r="O66" s="434"/>
      <c r="P66" s="434"/>
      <c r="Q66" s="434"/>
      <c r="R66" s="136"/>
      <c r="S66" s="136"/>
    </row>
    <row r="67" spans="2:20">
      <c r="B67" s="427" t="s">
        <v>592</v>
      </c>
      <c r="C67" s="506" t="str">
        <f>Data!$C$9</f>
        <v>£m 18/19</v>
      </c>
      <c r="D67" s="534">
        <f t="shared" ref="D67:H67" si="29">D59*(1-D51)+D64</f>
        <v>0</v>
      </c>
      <c r="E67" s="534">
        <f t="shared" si="29"/>
        <v>0</v>
      </c>
      <c r="F67" s="534">
        <f t="shared" si="29"/>
        <v>0</v>
      </c>
      <c r="G67" s="534">
        <f t="shared" si="29"/>
        <v>0</v>
      </c>
      <c r="H67" s="534">
        <f t="shared" si="29"/>
        <v>0</v>
      </c>
      <c r="I67" s="18">
        <f>SUM(D67:INDEX(D67:H67,0,MATCH('RFPR cover'!$C$9,$D$6:$H$6,0)))</f>
        <v>0</v>
      </c>
      <c r="J67" s="17">
        <f>SUM(D67:H67)</f>
        <v>0</v>
      </c>
      <c r="K67" s="434"/>
      <c r="L67" s="434"/>
      <c r="M67" s="434"/>
      <c r="N67" s="434"/>
      <c r="O67" s="434"/>
      <c r="P67" s="434"/>
      <c r="Q67" s="434"/>
      <c r="R67" s="136"/>
      <c r="S67" s="136"/>
    </row>
    <row r="68" spans="2:20">
      <c r="B68" s="434"/>
      <c r="C68" s="434"/>
      <c r="D68" s="434"/>
      <c r="E68" s="434"/>
      <c r="F68" s="434"/>
      <c r="G68" s="434"/>
      <c r="H68" s="434"/>
      <c r="I68" s="434"/>
      <c r="J68" s="434"/>
      <c r="K68" s="434"/>
      <c r="L68" s="434"/>
      <c r="M68" s="434"/>
      <c r="N68" s="434"/>
      <c r="O68" s="434"/>
      <c r="P68" s="434"/>
      <c r="Q68" s="434"/>
      <c r="R68" s="136"/>
      <c r="S68" s="136"/>
    </row>
    <row r="69" spans="2:20">
      <c r="B69" s="434" t="s">
        <v>593</v>
      </c>
      <c r="C69" s="434"/>
      <c r="D69" s="434"/>
      <c r="E69" s="434"/>
      <c r="F69" s="434"/>
      <c r="G69" s="434"/>
      <c r="H69" s="434"/>
      <c r="I69" s="434"/>
      <c r="J69" s="434"/>
      <c r="K69" s="434"/>
      <c r="L69" s="434"/>
      <c r="M69" s="434"/>
      <c r="N69" s="434"/>
      <c r="O69" s="434"/>
      <c r="P69" s="434"/>
      <c r="Q69" s="434"/>
      <c r="R69" s="136"/>
      <c r="S69" s="136"/>
    </row>
    <row r="70" spans="2:20">
      <c r="B70" s="427" t="s">
        <v>584</v>
      </c>
      <c r="C70" s="506" t="str">
        <f>Data!$C$9</f>
        <v>£m 18/19</v>
      </c>
      <c r="D70" s="534">
        <f>D66+D53</f>
        <v>8.8956329276232982E-2</v>
      </c>
      <c r="E70" s="534">
        <f t="shared" ref="E70:H70" si="30">E66+E53</f>
        <v>4.8796311001968462E-2</v>
      </c>
      <c r="F70" s="534">
        <f t="shared" si="30"/>
        <v>3.5209443177475208E-4</v>
      </c>
      <c r="G70" s="534">
        <f t="shared" si="30"/>
        <v>1.7822433256142745E-3</v>
      </c>
      <c r="H70" s="534">
        <f t="shared" si="30"/>
        <v>9.3425917863942942E-3</v>
      </c>
      <c r="I70" s="15">
        <f>SUM(D70:INDEX(D70:H70,0,MATCH('RFPR cover'!$C$9,$D$6:$H$6,0)))</f>
        <v>0.1381047347099762</v>
      </c>
      <c r="J70" s="17">
        <f>SUM(D70:H70)</f>
        <v>0.14922956982198476</v>
      </c>
      <c r="K70" s="434"/>
      <c r="L70" s="434"/>
      <c r="M70" s="434"/>
      <c r="N70" s="434"/>
      <c r="O70" s="434"/>
      <c r="P70" s="434"/>
      <c r="Q70" s="434"/>
      <c r="R70" s="136"/>
      <c r="S70" s="136"/>
    </row>
    <row r="71" spans="2:20">
      <c r="B71" s="427" t="s">
        <v>585</v>
      </c>
      <c r="C71" s="506" t="str">
        <f>Data!$C$9</f>
        <v>£m 18/19</v>
      </c>
      <c r="D71" s="534">
        <f>D54+D67</f>
        <v>8.8956329276232982E-2</v>
      </c>
      <c r="E71" s="534">
        <f t="shared" ref="E71:H71" si="31">E54+E67</f>
        <v>4.8796311001968462E-2</v>
      </c>
      <c r="F71" s="534">
        <f t="shared" si="31"/>
        <v>3.5209443177475208E-4</v>
      </c>
      <c r="G71" s="534">
        <f t="shared" si="31"/>
        <v>1.7822433256142745E-3</v>
      </c>
      <c r="H71" s="534">
        <f t="shared" si="31"/>
        <v>9.3425917863942942E-3</v>
      </c>
      <c r="I71" s="15">
        <f>SUM(D71:INDEX(D71:H71,0,MATCH('RFPR cover'!$C$9,$D$6:$H$6,0)))</f>
        <v>0.1381047347099762</v>
      </c>
      <c r="J71" s="17">
        <f t="shared" ref="J71" si="32">SUM(D71:H71)</f>
        <v>0.14922956982198476</v>
      </c>
      <c r="K71" s="434"/>
      <c r="L71" s="434"/>
      <c r="M71" s="434"/>
      <c r="N71" s="434"/>
      <c r="O71" s="434"/>
      <c r="P71" s="434"/>
      <c r="Q71" s="434"/>
      <c r="R71" s="136"/>
      <c r="S71" s="136"/>
    </row>
    <row r="72" spans="2:20">
      <c r="B72" s="434" t="s">
        <v>594</v>
      </c>
      <c r="C72" s="513" t="str">
        <f>Data!$C$9</f>
        <v>£m 18/19</v>
      </c>
      <c r="D72" s="534">
        <f>SUM(D70:D71)</f>
        <v>0.17791265855246596</v>
      </c>
      <c r="E72" s="534">
        <f t="shared" ref="E72:H72" si="33">SUM(E70:E71)</f>
        <v>9.7592622003936924E-2</v>
      </c>
      <c r="F72" s="534">
        <f t="shared" si="33"/>
        <v>7.0418886354950416E-4</v>
      </c>
      <c r="G72" s="534">
        <f t="shared" si="33"/>
        <v>3.5644866512285489E-3</v>
      </c>
      <c r="H72" s="534">
        <f t="shared" si="33"/>
        <v>1.8685183572788588E-2</v>
      </c>
      <c r="I72" s="15">
        <f>SUM(D72:INDEX(D72:H72,0,MATCH('RFPR cover'!$C$9,$D$6:$H$6,0)))</f>
        <v>0.27620946941995239</v>
      </c>
      <c r="J72" s="17">
        <f t="shared" ref="J72" si="34">SUM(D72:H72)</f>
        <v>0.29845913964396953</v>
      </c>
      <c r="K72" s="136"/>
      <c r="L72" s="136"/>
      <c r="M72" s="136"/>
      <c r="N72" s="136"/>
      <c r="O72" s="136"/>
      <c r="P72" s="136"/>
      <c r="Q72" s="136"/>
      <c r="R72" s="136"/>
      <c r="S72" s="136"/>
    </row>
    <row r="73" spans="2:20">
      <c r="C73" s="506"/>
      <c r="D73" s="506"/>
      <c r="E73" s="506"/>
      <c r="F73" s="506"/>
      <c r="G73" s="506"/>
      <c r="H73" s="506"/>
      <c r="I73" s="506"/>
      <c r="J73" s="506"/>
      <c r="K73" s="506"/>
      <c r="L73" s="506"/>
      <c r="M73" s="506"/>
      <c r="N73" s="506"/>
      <c r="O73" s="506"/>
      <c r="P73" s="506"/>
      <c r="Q73" s="506"/>
      <c r="R73" s="506"/>
      <c r="S73" s="506"/>
      <c r="T73" s="506"/>
    </row>
    <row r="74" spans="2:20">
      <c r="B74" s="514" t="s">
        <v>596</v>
      </c>
      <c r="C74" s="430"/>
      <c r="D74" s="432"/>
      <c r="E74" s="432"/>
      <c r="F74" s="432"/>
      <c r="G74" s="432"/>
      <c r="H74" s="432"/>
      <c r="I74" s="432"/>
      <c r="J74" s="432"/>
      <c r="K74" s="136"/>
      <c r="L74" s="136"/>
      <c r="M74" s="136"/>
      <c r="N74" s="136"/>
      <c r="O74" s="136"/>
      <c r="P74" s="136"/>
      <c r="Q74" s="136"/>
      <c r="R74" s="136"/>
      <c r="S74" s="136"/>
    </row>
    <row r="75" spans="2:20">
      <c r="D75" s="505"/>
      <c r="E75" s="505"/>
      <c r="F75" s="505"/>
      <c r="G75" s="505"/>
      <c r="H75" s="505"/>
      <c r="I75" s="505"/>
      <c r="J75" s="505"/>
      <c r="K75" s="136"/>
      <c r="L75" s="136"/>
      <c r="M75" s="136"/>
      <c r="N75" s="136"/>
      <c r="O75" s="136"/>
      <c r="P75" s="136"/>
      <c r="Q75" s="136"/>
      <c r="R75" s="136"/>
      <c r="S75" s="136"/>
    </row>
    <row r="76" spans="2:20">
      <c r="B76" s="94" t="s">
        <v>597</v>
      </c>
      <c r="C76" s="506" t="str">
        <f>Data!$C$9</f>
        <v>£m 18/19</v>
      </c>
      <c r="D76" s="1329">
        <v>148.95197785711676</v>
      </c>
      <c r="E76" s="1329">
        <v>147.53045748217963</v>
      </c>
      <c r="F76" s="1329">
        <v>181.63419864621918</v>
      </c>
      <c r="G76" s="1329">
        <v>207.30548030523147</v>
      </c>
      <c r="H76" s="1329">
        <v>213.11301098642906</v>
      </c>
      <c r="I76" s="540">
        <f>SUM(D76:INDEX(D76:H76,0,MATCH('RFPR cover'!$C$9,$D$6:$H$6,0)))</f>
        <v>478.11663398551559</v>
      </c>
      <c r="J76" s="541">
        <f>SUM(D76:H76)</f>
        <v>898.53512527717612</v>
      </c>
      <c r="K76" s="136"/>
      <c r="L76" s="136"/>
      <c r="M76" s="136"/>
      <c r="N76" s="136"/>
      <c r="O76" s="136"/>
      <c r="P76" s="136"/>
      <c r="Q76" s="136"/>
      <c r="R76" s="136"/>
      <c r="S76" s="136"/>
    </row>
    <row r="77" spans="2:20" ht="16.5" customHeight="1">
      <c r="B77" s="507" t="s">
        <v>598</v>
      </c>
      <c r="C77" s="515" t="str">
        <f>Data!$C$9</f>
        <v>£m 18/19</v>
      </c>
      <c r="D77" s="1329">
        <v>161.3892722785599</v>
      </c>
      <c r="E77" s="1329">
        <v>161.51671360343292</v>
      </c>
      <c r="F77" s="1329">
        <v>157.66507690447057</v>
      </c>
      <c r="G77" s="1329">
        <v>157.06041222494594</v>
      </c>
      <c r="H77" s="1329">
        <v>155.21743933022711</v>
      </c>
      <c r="I77" s="545">
        <f>SUM(D77:INDEX(D77:H77,0,MATCH('RFPR cover'!$C$9,$D$6:$H$6,0)))</f>
        <v>480.57106278646336</v>
      </c>
      <c r="J77" s="546">
        <f>SUM(D77:H77)</f>
        <v>792.84891434163637</v>
      </c>
      <c r="K77" s="516"/>
      <c r="L77" s="516"/>
      <c r="M77" s="516"/>
      <c r="N77" s="516"/>
      <c r="O77" s="516"/>
      <c r="P77" s="516"/>
      <c r="Q77" s="516"/>
      <c r="R77" s="516"/>
      <c r="S77" s="516"/>
    </row>
    <row r="78" spans="2:20">
      <c r="B78" s="92" t="s">
        <v>582</v>
      </c>
      <c r="C78" s="506" t="str">
        <f>Data!$C$9</f>
        <v>£m 18/19</v>
      </c>
      <c r="D78" s="534">
        <f>D77-D76</f>
        <v>12.437294421443141</v>
      </c>
      <c r="E78" s="534">
        <f t="shared" ref="E78:J78" si="35">E77-E76</f>
        <v>13.986256121253291</v>
      </c>
      <c r="F78" s="534">
        <f t="shared" si="35"/>
        <v>-23.969121741748609</v>
      </c>
      <c r="G78" s="534">
        <f t="shared" si="35"/>
        <v>-50.245068080285535</v>
      </c>
      <c r="H78" s="534">
        <f t="shared" si="35"/>
        <v>-57.895571656201952</v>
      </c>
      <c r="I78" s="175">
        <f t="shared" si="35"/>
        <v>2.4544288009477668</v>
      </c>
      <c r="J78" s="262">
        <f t="shared" si="35"/>
        <v>-105.68621093553975</v>
      </c>
      <c r="K78" s="136"/>
      <c r="L78" s="136"/>
      <c r="M78" s="136"/>
      <c r="N78" s="136"/>
      <c r="O78" s="136"/>
      <c r="P78" s="136"/>
      <c r="Q78" s="136"/>
      <c r="R78" s="136"/>
      <c r="S78" s="136"/>
    </row>
    <row r="79" spans="2:20">
      <c r="B79" s="92"/>
      <c r="C79" s="506"/>
      <c r="D79" s="509"/>
      <c r="E79" s="509"/>
      <c r="F79" s="509"/>
      <c r="G79" s="509"/>
      <c r="H79" s="509"/>
      <c r="I79" s="509"/>
      <c r="J79" s="509"/>
      <c r="K79" s="136"/>
      <c r="L79" s="136"/>
      <c r="M79" s="136"/>
      <c r="N79" s="136"/>
      <c r="O79" s="136"/>
      <c r="P79" s="136"/>
      <c r="Q79" s="136"/>
      <c r="R79" s="136"/>
      <c r="S79" s="136"/>
    </row>
    <row r="80" spans="2:20">
      <c r="B80" s="427" t="s">
        <v>583</v>
      </c>
      <c r="C80" s="29" t="s">
        <v>484</v>
      </c>
      <c r="D80" s="544">
        <f>INDEX(Data!$C$63:$C$91,MATCH('RFPR cover'!$C$7,Data!$B$63:$B$91,0),0)</f>
        <v>0.5</v>
      </c>
      <c r="E80" s="544">
        <f>INDEX(Data!$C$63:$C$91,MATCH('RFPR cover'!$C$7,Data!$B$63:$B$91,0),0)</f>
        <v>0.5</v>
      </c>
      <c r="F80" s="544">
        <f>INDEX(Data!$C$63:$C$91,MATCH('RFPR cover'!$C$7,Data!$B$63:$B$91,0),0)</f>
        <v>0.5</v>
      </c>
      <c r="G80" s="544">
        <f>INDEX(Data!$C$63:$C$91,MATCH('RFPR cover'!$C$7,Data!$B$63:$B$91,0),0)</f>
        <v>0.5</v>
      </c>
      <c r="H80" s="544">
        <f>INDEX(Data!$C$63:$C$91,MATCH('RFPR cover'!$C$7,Data!$B$63:$B$91,0),0)</f>
        <v>0.5</v>
      </c>
      <c r="I80" s="511"/>
      <c r="J80" s="511"/>
      <c r="K80" s="136"/>
      <c r="L80" s="136"/>
      <c r="M80" s="136"/>
      <c r="N80" s="136"/>
      <c r="O80" s="136"/>
      <c r="P80" s="136"/>
      <c r="Q80" s="136"/>
      <c r="R80" s="136"/>
      <c r="S80" s="136"/>
    </row>
    <row r="81" spans="2:19">
      <c r="K81" s="136"/>
      <c r="L81" s="136"/>
      <c r="M81" s="136"/>
      <c r="N81" s="136"/>
      <c r="O81" s="136"/>
      <c r="P81" s="136"/>
      <c r="Q81" s="136"/>
      <c r="R81" s="136"/>
      <c r="S81" s="136"/>
    </row>
    <row r="82" spans="2:19">
      <c r="B82" s="427" t="s">
        <v>584</v>
      </c>
      <c r="C82" s="506" t="str">
        <f>Data!$C$9</f>
        <v>£m 18/19</v>
      </c>
      <c r="D82" s="534">
        <f>D78*D80</f>
        <v>6.2186472107215707</v>
      </c>
      <c r="E82" s="534">
        <f t="shared" ref="E82:H82" si="36">E78*E80</f>
        <v>6.9931280606266455</v>
      </c>
      <c r="F82" s="534">
        <f t="shared" si="36"/>
        <v>-11.984560870874304</v>
      </c>
      <c r="G82" s="534">
        <f t="shared" si="36"/>
        <v>-25.122534040142767</v>
      </c>
      <c r="H82" s="534">
        <f t="shared" si="36"/>
        <v>-28.947785828100976</v>
      </c>
      <c r="I82" s="54">
        <f>SUM(D82:INDEX(D82:H82,0,MATCH('RFPR cover'!$C$9,$D$6:$H$6,0)))</f>
        <v>1.2272144004739118</v>
      </c>
      <c r="J82" s="88">
        <f>SUM(D82:H82)</f>
        <v>-52.843105467769831</v>
      </c>
      <c r="K82" s="136"/>
      <c r="L82" s="136"/>
      <c r="M82" s="136"/>
      <c r="N82" s="136"/>
      <c r="O82" s="136"/>
      <c r="P82" s="136"/>
      <c r="Q82" s="136"/>
      <c r="R82" s="136"/>
      <c r="S82" s="136"/>
    </row>
    <row r="83" spans="2:19">
      <c r="B83" s="427" t="s">
        <v>585</v>
      </c>
      <c r="C83" s="506" t="str">
        <f>Data!$C$9</f>
        <v>£m 18/19</v>
      </c>
      <c r="D83" s="534">
        <f>D78*(1-D80)</f>
        <v>6.2186472107215707</v>
      </c>
      <c r="E83" s="534">
        <f t="shared" ref="E83:H83" si="37">E78*(1-E80)</f>
        <v>6.9931280606266455</v>
      </c>
      <c r="F83" s="534">
        <f t="shared" si="37"/>
        <v>-11.984560870874304</v>
      </c>
      <c r="G83" s="534">
        <f t="shared" si="37"/>
        <v>-25.122534040142767</v>
      </c>
      <c r="H83" s="534">
        <f t="shared" si="37"/>
        <v>-28.947785828100976</v>
      </c>
      <c r="I83" s="89">
        <f>SUM(D83:INDEX(D83:H83,0,MATCH('RFPR cover'!$C$9,$D$6:$H$6,0)))</f>
        <v>1.2272144004739118</v>
      </c>
      <c r="J83" s="90">
        <f>SUM(D83:H83)</f>
        <v>-52.843105467769831</v>
      </c>
      <c r="K83" s="136"/>
      <c r="L83" s="136"/>
      <c r="M83" s="136"/>
      <c r="N83" s="136"/>
      <c r="O83" s="136"/>
      <c r="P83" s="136"/>
      <c r="Q83" s="136"/>
      <c r="R83" s="136"/>
      <c r="S83" s="136"/>
    </row>
    <row r="84" spans="2:19">
      <c r="C84" s="427"/>
      <c r="D84" s="427"/>
      <c r="E84" s="427"/>
      <c r="F84" s="427"/>
      <c r="G84" s="427"/>
      <c r="H84" s="427"/>
      <c r="I84" s="427"/>
      <c r="J84" s="427"/>
      <c r="K84" s="427"/>
      <c r="L84" s="427"/>
      <c r="M84" s="136"/>
      <c r="N84" s="136"/>
      <c r="O84" s="136"/>
      <c r="P84" s="136"/>
      <c r="Q84" s="136"/>
      <c r="R84" s="136"/>
      <c r="S84" s="136"/>
    </row>
    <row r="85" spans="2:19">
      <c r="B85" s="434" t="s">
        <v>586</v>
      </c>
      <c r="K85" s="427"/>
      <c r="L85" s="427"/>
      <c r="M85" s="136"/>
      <c r="N85" s="136"/>
      <c r="O85" s="136"/>
      <c r="P85" s="136"/>
      <c r="Q85" s="136"/>
      <c r="R85" s="136"/>
      <c r="S85" s="136"/>
    </row>
    <row r="86" spans="2:19">
      <c r="B86" s="1331" t="s">
        <v>1147</v>
      </c>
      <c r="C86" s="506" t="str">
        <f>Data!$C$9</f>
        <v>£m 18/19</v>
      </c>
      <c r="D86" s="1330">
        <v>-10</v>
      </c>
      <c r="E86" s="1330">
        <v>-24</v>
      </c>
      <c r="F86" s="1330">
        <v>-5</v>
      </c>
      <c r="G86" s="1330">
        <v>19</v>
      </c>
      <c r="H86" s="1330">
        <v>20</v>
      </c>
      <c r="I86" s="15">
        <f>SUM(D86:INDEX(D86:H86,0,MATCH('RFPR cover'!$C$9,$D$6:$H$6,0)))</f>
        <v>-39</v>
      </c>
      <c r="J86" s="17">
        <f>SUM(D86:H86)</f>
        <v>0</v>
      </c>
      <c r="K86" s="427"/>
      <c r="L86" s="427"/>
      <c r="M86" s="136"/>
      <c r="N86" s="136"/>
      <c r="O86" s="136"/>
      <c r="P86" s="136"/>
      <c r="Q86" s="136"/>
      <c r="R86" s="136"/>
      <c r="S86" s="136"/>
    </row>
    <row r="87" spans="2:19">
      <c r="B87" s="1331" t="s">
        <v>1148</v>
      </c>
      <c r="C87" s="506" t="str">
        <f>Data!$C$9</f>
        <v>£m 18/19</v>
      </c>
      <c r="D87" s="1330">
        <v>-1.7</v>
      </c>
      <c r="E87" s="1330">
        <v>-1</v>
      </c>
      <c r="F87" s="1330">
        <v>0.7</v>
      </c>
      <c r="G87" s="1330">
        <v>0.9</v>
      </c>
      <c r="H87" s="1330">
        <v>1.1000000000000001</v>
      </c>
      <c r="I87" s="15">
        <f>SUM(D87:INDEX(D87:H87,0,MATCH('RFPR cover'!$C$9,$D$6:$H$6,0)))</f>
        <v>-2</v>
      </c>
      <c r="J87" s="17">
        <f t="shared" ref="J87:J88" si="38">SUM(D87:H87)</f>
        <v>0</v>
      </c>
      <c r="K87" s="427"/>
      <c r="L87" s="427"/>
      <c r="M87" s="136"/>
      <c r="N87" s="136"/>
      <c r="O87" s="136"/>
      <c r="P87" s="136"/>
      <c r="Q87" s="136"/>
      <c r="R87" s="136"/>
      <c r="S87" s="136"/>
    </row>
    <row r="88" spans="2:19">
      <c r="B88" s="434" t="s">
        <v>589</v>
      </c>
      <c r="C88" s="506" t="str">
        <f>Data!$C$9</f>
        <v>£m 18/19</v>
      </c>
      <c r="D88" s="534">
        <f>SUM(D86:D87)</f>
        <v>-11.7</v>
      </c>
      <c r="E88" s="534">
        <f t="shared" ref="E88" si="39">SUM(E86:E87)</f>
        <v>-25</v>
      </c>
      <c r="F88" s="534">
        <f t="shared" ref="F88" si="40">SUM(F86:F87)</f>
        <v>-4.3</v>
      </c>
      <c r="G88" s="534">
        <f t="shared" ref="G88" si="41">SUM(G86:G87)</f>
        <v>19.899999999999999</v>
      </c>
      <c r="H88" s="534">
        <f t="shared" ref="H88" si="42">SUM(H86:H87)</f>
        <v>21.1</v>
      </c>
      <c r="I88" s="15">
        <f>SUM(D88:INDEX(D88:H88,0,MATCH('RFPR cover'!$C$9,$D$6:$H$6,0)))</f>
        <v>-41</v>
      </c>
      <c r="J88" s="17">
        <f t="shared" si="38"/>
        <v>0</v>
      </c>
      <c r="K88" s="427"/>
      <c r="L88" s="427"/>
      <c r="M88" s="136"/>
      <c r="N88" s="136"/>
      <c r="O88" s="136"/>
      <c r="P88" s="136"/>
      <c r="Q88" s="136"/>
      <c r="R88" s="136"/>
      <c r="S88" s="136"/>
    </row>
    <row r="89" spans="2:19">
      <c r="B89" s="434"/>
      <c r="C89" s="434"/>
      <c r="D89" s="434"/>
      <c r="E89" s="434"/>
      <c r="F89" s="434"/>
      <c r="G89" s="434"/>
      <c r="H89" s="434"/>
      <c r="I89" s="434"/>
      <c r="J89" s="434"/>
      <c r="K89" s="427"/>
      <c r="L89" s="427"/>
      <c r="M89" s="136"/>
      <c r="N89" s="136"/>
      <c r="O89" s="136"/>
      <c r="P89" s="136"/>
      <c r="Q89" s="136"/>
      <c r="R89" s="136"/>
      <c r="S89" s="136"/>
    </row>
    <row r="90" spans="2:19">
      <c r="B90" s="427" t="s">
        <v>591</v>
      </c>
      <c r="C90" s="506"/>
      <c r="D90" s="534">
        <f>D88*D80</f>
        <v>-5.85</v>
      </c>
      <c r="E90" s="534">
        <f t="shared" ref="E90:H90" si="43">E88*E80</f>
        <v>-12.5</v>
      </c>
      <c r="F90" s="534">
        <f t="shared" si="43"/>
        <v>-2.15</v>
      </c>
      <c r="G90" s="534">
        <f t="shared" si="43"/>
        <v>9.9499999999999993</v>
      </c>
      <c r="H90" s="534">
        <f t="shared" si="43"/>
        <v>10.55</v>
      </c>
      <c r="I90" s="18">
        <f>SUM(D90:INDEX(D90:H90,0,MATCH('RFPR cover'!$C$9,$D$6:$H$6,0)))</f>
        <v>-20.5</v>
      </c>
      <c r="J90" s="20">
        <f>SUM(D90:H90)</f>
        <v>0</v>
      </c>
      <c r="K90" s="427"/>
      <c r="L90" s="427"/>
      <c r="M90" s="136"/>
      <c r="N90" s="136"/>
      <c r="O90" s="136"/>
      <c r="P90" s="136"/>
      <c r="Q90" s="136"/>
      <c r="R90" s="136"/>
      <c r="S90" s="136"/>
    </row>
    <row r="91" spans="2:19">
      <c r="B91" s="427" t="s">
        <v>592</v>
      </c>
      <c r="C91" s="506"/>
      <c r="D91" s="534">
        <f>D88*(1-D80)</f>
        <v>-5.85</v>
      </c>
      <c r="E91" s="534">
        <f t="shared" ref="E91:H91" si="44">E88*(1-E80)</f>
        <v>-12.5</v>
      </c>
      <c r="F91" s="534">
        <f t="shared" si="44"/>
        <v>-2.15</v>
      </c>
      <c r="G91" s="534">
        <f t="shared" si="44"/>
        <v>9.9499999999999993</v>
      </c>
      <c r="H91" s="534">
        <f t="shared" si="44"/>
        <v>10.55</v>
      </c>
      <c r="I91" s="15">
        <v>0</v>
      </c>
      <c r="J91" s="17">
        <f>SUM(D91:H91)</f>
        <v>0</v>
      </c>
      <c r="K91" s="427"/>
      <c r="L91" s="427"/>
      <c r="M91" s="136"/>
      <c r="N91" s="136"/>
      <c r="O91" s="136"/>
      <c r="P91" s="136"/>
      <c r="Q91" s="136"/>
      <c r="R91" s="136"/>
      <c r="S91" s="136"/>
    </row>
    <row r="92" spans="2:19">
      <c r="B92" s="434"/>
      <c r="C92" s="434"/>
      <c r="D92" s="434"/>
      <c r="E92" s="434"/>
      <c r="F92" s="434"/>
      <c r="G92" s="434"/>
      <c r="H92" s="434"/>
      <c r="I92" s="434"/>
      <c r="J92" s="434"/>
      <c r="K92" s="427"/>
      <c r="L92" s="427"/>
      <c r="M92" s="136"/>
      <c r="N92" s="136"/>
      <c r="O92" s="136"/>
      <c r="P92" s="136"/>
      <c r="Q92" s="136"/>
      <c r="R92" s="136"/>
      <c r="S92" s="136"/>
    </row>
    <row r="93" spans="2:19">
      <c r="B93" s="434" t="s">
        <v>593</v>
      </c>
      <c r="C93" s="434"/>
      <c r="D93" s="434"/>
      <c r="E93" s="434"/>
      <c r="F93" s="434"/>
      <c r="G93" s="434"/>
      <c r="H93" s="434"/>
      <c r="I93" s="434"/>
      <c r="J93" s="434"/>
      <c r="K93" s="427"/>
      <c r="L93" s="427"/>
      <c r="M93" s="136"/>
      <c r="N93" s="136"/>
      <c r="O93" s="136"/>
      <c r="P93" s="136"/>
      <c r="Q93" s="136"/>
      <c r="R93" s="136"/>
      <c r="S93" s="136"/>
    </row>
    <row r="94" spans="2:19">
      <c r="B94" s="427" t="s">
        <v>584</v>
      </c>
      <c r="C94" s="506" t="str">
        <f>Data!$C$9</f>
        <v>£m 18/19</v>
      </c>
      <c r="D94" s="534">
        <f>D90+D82</f>
        <v>0.36864721072157103</v>
      </c>
      <c r="E94" s="534">
        <f t="shared" ref="E94:H94" si="45">E90+E82</f>
        <v>-5.5068719393733545</v>
      </c>
      <c r="F94" s="534">
        <f t="shared" si="45"/>
        <v>-14.134560870874305</v>
      </c>
      <c r="G94" s="534">
        <f t="shared" si="45"/>
        <v>-15.172534040142768</v>
      </c>
      <c r="H94" s="534">
        <f t="shared" si="45"/>
        <v>-18.397785828100975</v>
      </c>
      <c r="I94" s="15">
        <f>SUM(D94:INDEX(D94:H94,0,MATCH('RFPR cover'!$C$9,$D$6:$H$6,0)))</f>
        <v>-19.272785599526088</v>
      </c>
      <c r="J94" s="17">
        <f>SUM(D94:H94)</f>
        <v>-52.843105467769831</v>
      </c>
      <c r="K94" s="427"/>
      <c r="L94" s="427"/>
      <c r="M94" s="136"/>
      <c r="N94" s="136"/>
      <c r="O94" s="136"/>
      <c r="P94" s="136"/>
      <c r="Q94" s="136"/>
      <c r="R94" s="136"/>
      <c r="S94" s="136"/>
    </row>
    <row r="95" spans="2:19">
      <c r="B95" s="427" t="s">
        <v>585</v>
      </c>
      <c r="C95" s="506" t="str">
        <f>Data!$C$9</f>
        <v>£m 18/19</v>
      </c>
      <c r="D95" s="534">
        <f>D83+D91</f>
        <v>0.36864721072157103</v>
      </c>
      <c r="E95" s="534">
        <f t="shared" ref="E95:H95" si="46">E83+E91</f>
        <v>-5.5068719393733545</v>
      </c>
      <c r="F95" s="534">
        <f t="shared" si="46"/>
        <v>-14.134560870874305</v>
      </c>
      <c r="G95" s="534">
        <f t="shared" si="46"/>
        <v>-15.172534040142768</v>
      </c>
      <c r="H95" s="534">
        <f t="shared" si="46"/>
        <v>-18.397785828100975</v>
      </c>
      <c r="I95" s="15">
        <f>SUM(D95:INDEX(D95:H95,0,MATCH('RFPR cover'!$C$9,$D$6:$H$6,0)))</f>
        <v>-19.272785599526088</v>
      </c>
      <c r="J95" s="17">
        <f t="shared" ref="J95:J96" si="47">SUM(D95:H95)</f>
        <v>-52.843105467769831</v>
      </c>
      <c r="K95" s="427"/>
      <c r="L95" s="427"/>
      <c r="M95" s="136"/>
      <c r="N95" s="136"/>
      <c r="O95" s="136"/>
      <c r="P95" s="136"/>
      <c r="Q95" s="136"/>
      <c r="R95" s="136"/>
      <c r="S95" s="136"/>
    </row>
    <row r="96" spans="2:19">
      <c r="B96" s="434" t="s">
        <v>594</v>
      </c>
      <c r="C96" s="513" t="str">
        <f>Data!$C$9</f>
        <v>£m 18/19</v>
      </c>
      <c r="D96" s="534">
        <f>SUM(D94:D95)</f>
        <v>0.73729442144314206</v>
      </c>
      <c r="E96" s="534">
        <f t="shared" ref="E96:H96" si="48">SUM(E94:E95)</f>
        <v>-11.013743878746709</v>
      </c>
      <c r="F96" s="534">
        <f t="shared" si="48"/>
        <v>-28.269121741748609</v>
      </c>
      <c r="G96" s="534">
        <f t="shared" si="48"/>
        <v>-30.345068080285536</v>
      </c>
      <c r="H96" s="534">
        <f t="shared" si="48"/>
        <v>-36.79557165620195</v>
      </c>
      <c r="I96" s="15">
        <f>SUM(D96:INDEX(D96:H96,0,MATCH('RFPR cover'!$C$9,$D$6:$H$6,0)))</f>
        <v>-38.545571199052176</v>
      </c>
      <c r="J96" s="17">
        <f t="shared" si="47"/>
        <v>-105.68621093553966</v>
      </c>
      <c r="K96" s="136"/>
      <c r="L96" s="136"/>
      <c r="M96" s="136"/>
      <c r="N96" s="136"/>
      <c r="O96" s="136"/>
      <c r="P96" s="136"/>
      <c r="Q96" s="136"/>
      <c r="R96" s="136"/>
      <c r="S96" s="136"/>
    </row>
    <row r="97" spans="2:19">
      <c r="K97" s="136"/>
      <c r="L97" s="136"/>
      <c r="M97" s="136"/>
      <c r="N97" s="136"/>
      <c r="O97" s="136"/>
      <c r="P97" s="136"/>
      <c r="Q97" s="136"/>
      <c r="R97" s="136"/>
      <c r="S97" s="136"/>
    </row>
    <row r="98" spans="2:19">
      <c r="B98" s="429" t="s">
        <v>599</v>
      </c>
      <c r="C98" s="430"/>
      <c r="D98" s="432"/>
      <c r="E98" s="432"/>
      <c r="F98" s="432"/>
      <c r="G98" s="432"/>
      <c r="H98" s="432"/>
      <c r="I98" s="432"/>
      <c r="J98" s="432"/>
      <c r="Q98" s="136"/>
      <c r="R98" s="136"/>
      <c r="S98" s="136"/>
    </row>
    <row r="99" spans="2:19">
      <c r="K99" s="136"/>
      <c r="L99" s="136"/>
      <c r="M99" s="136"/>
      <c r="N99" s="136"/>
      <c r="O99" s="136"/>
      <c r="P99" s="136"/>
      <c r="Q99" s="136"/>
      <c r="R99" s="136"/>
      <c r="S99" s="136"/>
    </row>
    <row r="100" spans="2:19">
      <c r="B100" s="434" t="s">
        <v>600</v>
      </c>
      <c r="Q100" s="136"/>
      <c r="R100" s="136"/>
      <c r="S100" s="136"/>
    </row>
    <row r="101" spans="2:19">
      <c r="B101" s="427" t="s">
        <v>601</v>
      </c>
      <c r="C101" s="506" t="str">
        <f>Data!$C$9</f>
        <v>£m 18/19</v>
      </c>
      <c r="D101" s="534">
        <f t="shared" ref="D101:H102" si="49">D41+D70+D94</f>
        <v>8.8360509418966391</v>
      </c>
      <c r="E101" s="534">
        <f t="shared" si="49"/>
        <v>-8.4314232698220728</v>
      </c>
      <c r="F101" s="534">
        <f t="shared" si="49"/>
        <v>-24.194171489424534</v>
      </c>
      <c r="G101" s="534">
        <f t="shared" si="49"/>
        <v>-47.626004768772333</v>
      </c>
      <c r="H101" s="534">
        <f t="shared" si="49"/>
        <v>-25.768338007184994</v>
      </c>
      <c r="I101" s="15">
        <f>SUM(D101:INDEX(D101:H101,0,MATCH('RFPR cover'!$C$9,$D$6:$H$6,0)))</f>
        <v>-23.789543817349966</v>
      </c>
      <c r="J101" s="17">
        <f>SUM(D101:H101)</f>
        <v>-97.183886593307292</v>
      </c>
      <c r="Q101" s="136"/>
      <c r="R101" s="466"/>
      <c r="S101" s="136"/>
    </row>
    <row r="102" spans="2:19">
      <c r="B102" s="427" t="s">
        <v>585</v>
      </c>
      <c r="C102" s="506" t="str">
        <f>Data!$C$9</f>
        <v>£m 18/19</v>
      </c>
      <c r="D102" s="534">
        <f t="shared" si="49"/>
        <v>8.8360509418966391</v>
      </c>
      <c r="E102" s="534">
        <f t="shared" si="49"/>
        <v>-8.4314232698220728</v>
      </c>
      <c r="F102" s="534">
        <f t="shared" si="49"/>
        <v>-24.194171489424534</v>
      </c>
      <c r="G102" s="534">
        <f t="shared" si="49"/>
        <v>-47.626004768772333</v>
      </c>
      <c r="H102" s="534">
        <f t="shared" si="49"/>
        <v>-25.768338007184994</v>
      </c>
      <c r="I102" s="15">
        <f>SUM(D102:INDEX(D102:H102,0,MATCH('RFPR cover'!$C$9,$D$6:$H$6,0)))</f>
        <v>-23.789543817349966</v>
      </c>
      <c r="J102" s="17">
        <f t="shared" ref="J102:J103" si="50">SUM(D102:H102)</f>
        <v>-97.183886593307292</v>
      </c>
      <c r="Q102" s="136"/>
      <c r="R102" s="136"/>
      <c r="S102" s="136"/>
    </row>
    <row r="103" spans="2:19">
      <c r="B103" s="434" t="s">
        <v>602</v>
      </c>
      <c r="C103" s="513" t="str">
        <f>Data!$C$9</f>
        <v>£m 18/19</v>
      </c>
      <c r="D103" s="534">
        <f>SUM(D101:D102)</f>
        <v>17.672101883793278</v>
      </c>
      <c r="E103" s="534">
        <f t="shared" ref="E103:H103" si="51">SUM(E101:E102)</f>
        <v>-16.862846539644146</v>
      </c>
      <c r="F103" s="534">
        <f t="shared" si="51"/>
        <v>-48.388342978849067</v>
      </c>
      <c r="G103" s="534">
        <f t="shared" si="51"/>
        <v>-95.252009537544666</v>
      </c>
      <c r="H103" s="534">
        <f t="shared" si="51"/>
        <v>-51.536676014369988</v>
      </c>
      <c r="I103" s="15">
        <f>SUM(D103:INDEX(D103:H103,0,MATCH('RFPR cover'!$C$9,$D$6:$H$6,0)))</f>
        <v>-47.579087634699931</v>
      </c>
      <c r="J103" s="17">
        <f t="shared" si="50"/>
        <v>-194.36777318661458</v>
      </c>
      <c r="Q103" s="136"/>
      <c r="R103" s="136"/>
      <c r="S103" s="136"/>
    </row>
    <row r="104" spans="2:19">
      <c r="B104" s="434"/>
      <c r="C104" s="513"/>
      <c r="D104" s="513"/>
      <c r="E104" s="513"/>
      <c r="F104" s="513"/>
      <c r="G104" s="513"/>
      <c r="H104" s="513"/>
      <c r="I104" s="513"/>
      <c r="J104" s="513"/>
      <c r="Q104" s="136"/>
      <c r="R104" s="136"/>
      <c r="S104" s="136"/>
    </row>
    <row r="105" spans="2:19">
      <c r="B105" s="498" t="s">
        <v>603</v>
      </c>
      <c r="C105" s="499"/>
      <c r="D105" s="499"/>
      <c r="E105" s="499"/>
      <c r="F105" s="499"/>
      <c r="G105" s="499"/>
      <c r="H105" s="500"/>
      <c r="I105" s="500"/>
      <c r="J105" s="500"/>
    </row>
    <row r="107" spans="2:19">
      <c r="B107" s="377"/>
    </row>
    <row r="108" spans="2:19">
      <c r="B108" s="517"/>
      <c r="D108" s="376" t="str">
        <f t="shared" ref="D108:H108" si="52">IF(D109&lt;=Reporting_Year,"Actuals","N/A")</f>
        <v>Actuals</v>
      </c>
      <c r="E108" s="518" t="str">
        <f t="shared" si="52"/>
        <v>Actuals</v>
      </c>
      <c r="F108" s="518" t="str">
        <f t="shared" si="52"/>
        <v>Actuals</v>
      </c>
      <c r="G108" s="518" t="str">
        <f t="shared" si="52"/>
        <v>N/A</v>
      </c>
      <c r="H108" s="518" t="str">
        <f t="shared" si="52"/>
        <v>N/A</v>
      </c>
    </row>
    <row r="109" spans="2:19">
      <c r="B109" s="377"/>
      <c r="D109" s="495">
        <f>'RFPR cover'!$C$6</f>
        <v>2022</v>
      </c>
      <c r="E109" s="496">
        <f t="shared" ref="E109:H109" si="53">D109+1</f>
        <v>2023</v>
      </c>
      <c r="F109" s="496">
        <f t="shared" si="53"/>
        <v>2024</v>
      </c>
      <c r="G109" s="496">
        <f t="shared" si="53"/>
        <v>2025</v>
      </c>
      <c r="H109" s="496">
        <f t="shared" si="53"/>
        <v>2026</v>
      </c>
    </row>
    <row r="110" spans="2:19">
      <c r="B110" s="377"/>
      <c r="D110" s="381" t="str">
        <f>RIIO_2_start_date-1&amp;"/"&amp;RIGHT(RIIO_2_start_date,2)</f>
        <v>2021/22</v>
      </c>
      <c r="E110" s="381" t="str">
        <f>RIIO_2_start_date&amp;"/"&amp;RIGHT(RIIO_2_start_date+1,2)</f>
        <v>2022/23</v>
      </c>
      <c r="F110" s="381" t="str">
        <f>RIIO_2_start_date+1&amp;"/"&amp;RIGHT(RIIO_2_start_date+2,2)</f>
        <v>2023/24</v>
      </c>
      <c r="G110" s="381" t="str">
        <f>RIIO_2_start_date+2&amp;"/"&amp;RIGHT(RIIO_2_start_date+3,2)</f>
        <v>2024/25</v>
      </c>
      <c r="H110" s="381" t="str">
        <f>RIIO_2_start_date+3&amp;"/"&amp;RIGHT(RIIO_2_start_date+4,2)</f>
        <v>2025/26</v>
      </c>
    </row>
    <row r="111" spans="2:19">
      <c r="B111" s="377"/>
      <c r="D111" s="29"/>
      <c r="E111" s="29"/>
      <c r="F111" s="29"/>
      <c r="G111" s="29"/>
      <c r="H111" s="29"/>
      <c r="I111" s="29"/>
    </row>
    <row r="112" spans="2:19">
      <c r="B112" s="519" t="s">
        <v>604</v>
      </c>
      <c r="C112" s="40"/>
      <c r="D112" s="519"/>
      <c r="E112" s="519"/>
      <c r="F112" s="519"/>
      <c r="G112" s="519"/>
      <c r="H112" s="519"/>
      <c r="Q112" s="136"/>
    </row>
    <row r="113" spans="1:19">
      <c r="B113" s="1331" t="s">
        <v>605</v>
      </c>
      <c r="C113" s="29" t="s">
        <v>520</v>
      </c>
      <c r="D113" s="1332">
        <v>233.37953743999788</v>
      </c>
      <c r="E113" s="1332">
        <v>269.21748847000515</v>
      </c>
      <c r="F113" s="1332">
        <v>324.30682329999627</v>
      </c>
      <c r="G113" s="439"/>
      <c r="H113" s="439"/>
    </row>
    <row r="114" spans="1:19">
      <c r="B114" s="1331" t="s">
        <v>606</v>
      </c>
      <c r="C114" s="29" t="s">
        <v>520</v>
      </c>
      <c r="D114" s="1333">
        <v>5.0749136499999974</v>
      </c>
      <c r="E114" s="1330">
        <v>5.6686831100000221</v>
      </c>
      <c r="F114" s="1330">
        <v>2.4131388299999901</v>
      </c>
      <c r="G114" s="439"/>
      <c r="H114" s="439"/>
    </row>
    <row r="115" spans="1:19">
      <c r="B115" s="1331" t="s">
        <v>607</v>
      </c>
      <c r="C115" s="29" t="s">
        <v>520</v>
      </c>
      <c r="D115" s="1333"/>
      <c r="E115" s="1330"/>
      <c r="F115" s="1330">
        <v>0</v>
      </c>
      <c r="G115" s="512"/>
      <c r="H115" s="512"/>
    </row>
    <row r="116" spans="1:19">
      <c r="B116" s="1331" t="s">
        <v>608</v>
      </c>
      <c r="C116" s="29" t="s">
        <v>520</v>
      </c>
      <c r="D116" s="1332">
        <v>-27.359000000000002</v>
      </c>
      <c r="E116" s="1332">
        <v>-21.64609016</v>
      </c>
      <c r="F116" s="1332">
        <v>-13.19026648</v>
      </c>
      <c r="G116" s="439"/>
      <c r="H116" s="439"/>
    </row>
    <row r="117" spans="1:19">
      <c r="B117" s="1331" t="s">
        <v>609</v>
      </c>
      <c r="C117" s="29" t="s">
        <v>520</v>
      </c>
      <c r="D117" s="1333"/>
      <c r="E117" s="1330"/>
      <c r="F117" s="1330">
        <v>0</v>
      </c>
      <c r="G117" s="512"/>
      <c r="H117" s="512"/>
      <c r="R117" s="136"/>
      <c r="S117" s="136"/>
    </row>
    <row r="118" spans="1:19">
      <c r="B118" s="1331" t="s">
        <v>610</v>
      </c>
      <c r="C118" s="29" t="s">
        <v>520</v>
      </c>
      <c r="D118" s="1334"/>
      <c r="E118" s="1335"/>
      <c r="F118" s="1335">
        <v>0</v>
      </c>
      <c r="G118" s="522"/>
      <c r="H118" s="522"/>
    </row>
    <row r="119" spans="1:19">
      <c r="A119" s="517">
        <v>1</v>
      </c>
      <c r="B119" s="1331" t="s">
        <v>542</v>
      </c>
      <c r="C119" s="29" t="s">
        <v>520</v>
      </c>
      <c r="D119" s="1332"/>
      <c r="E119" s="1336"/>
      <c r="F119" s="1336">
        <v>0</v>
      </c>
      <c r="G119" s="523"/>
      <c r="H119" s="523"/>
    </row>
    <row r="120" spans="1:19">
      <c r="A120" s="517">
        <v>2</v>
      </c>
      <c r="B120" s="1331" t="s">
        <v>542</v>
      </c>
      <c r="C120" s="29" t="s">
        <v>520</v>
      </c>
      <c r="D120" s="1333"/>
      <c r="E120" s="1330"/>
      <c r="F120" s="1330">
        <v>0</v>
      </c>
      <c r="G120" s="512"/>
      <c r="H120" s="512"/>
    </row>
    <row r="121" spans="1:19">
      <c r="A121" s="517">
        <v>3</v>
      </c>
      <c r="B121" s="1331" t="s">
        <v>539</v>
      </c>
      <c r="C121" s="29" t="s">
        <v>520</v>
      </c>
      <c r="D121" s="1337"/>
      <c r="E121" s="1338"/>
      <c r="F121" s="1338">
        <v>0</v>
      </c>
      <c r="G121" s="524"/>
      <c r="H121" s="524"/>
    </row>
    <row r="122" spans="1:19">
      <c r="B122" s="519" t="s">
        <v>611</v>
      </c>
      <c r="C122" s="29" t="s">
        <v>520</v>
      </c>
      <c r="D122" s="547">
        <f t="shared" ref="D122:H122" si="54">SUM(D113:D121)</f>
        <v>211.09545108999785</v>
      </c>
      <c r="E122" s="548">
        <f t="shared" si="54"/>
        <v>253.24008142000517</v>
      </c>
      <c r="F122" s="548">
        <f t="shared" si="54"/>
        <v>313.52969564999626</v>
      </c>
      <c r="G122" s="548">
        <f t="shared" si="54"/>
        <v>0</v>
      </c>
      <c r="H122" s="549">
        <f t="shared" si="54"/>
        <v>0</v>
      </c>
    </row>
    <row r="123" spans="1:19">
      <c r="B123" s="519"/>
      <c r="C123" s="519"/>
      <c r="D123" s="519"/>
      <c r="E123" s="519"/>
      <c r="F123" s="519"/>
      <c r="G123" s="519"/>
      <c r="H123" s="519"/>
      <c r="I123" s="519"/>
      <c r="J123" s="519"/>
      <c r="K123" s="519"/>
      <c r="L123" s="519"/>
      <c r="M123" s="519"/>
    </row>
    <row r="124" spans="1:19">
      <c r="A124" s="517"/>
      <c r="B124" s="1331" t="s">
        <v>612</v>
      </c>
      <c r="C124" s="29" t="s">
        <v>520</v>
      </c>
      <c r="D124" s="1332">
        <v>135.4</v>
      </c>
      <c r="E124" s="1332">
        <v>139.484701</v>
      </c>
      <c r="F124" s="1332">
        <v>139.54993876</v>
      </c>
      <c r="G124" s="439"/>
      <c r="H124" s="439"/>
    </row>
    <row r="125" spans="1:19" ht="21" customHeight="1">
      <c r="A125" s="517"/>
      <c r="B125" s="525" t="s">
        <v>613</v>
      </c>
      <c r="C125" s="517"/>
      <c r="D125" s="517"/>
      <c r="E125" s="517"/>
      <c r="F125" s="517"/>
      <c r="G125" s="517"/>
      <c r="H125" s="517"/>
      <c r="I125" s="517"/>
      <c r="J125" s="517"/>
      <c r="K125" s="29"/>
    </row>
    <row r="126" spans="1:19">
      <c r="A126" s="517">
        <v>1</v>
      </c>
      <c r="B126" s="440" t="s">
        <v>614</v>
      </c>
      <c r="C126" s="29" t="s">
        <v>520</v>
      </c>
      <c r="D126" s="1332">
        <v>347.58500000000004</v>
      </c>
      <c r="E126" s="1336">
        <v>392.24402042000008</v>
      </c>
      <c r="F126" s="1336">
        <v>397.4</v>
      </c>
      <c r="G126" s="523"/>
      <c r="H126" s="526"/>
    </row>
    <row r="127" spans="1:19">
      <c r="A127" s="517">
        <v>2</v>
      </c>
      <c r="B127" s="440" t="s">
        <v>542</v>
      </c>
      <c r="C127" s="29" t="s">
        <v>520</v>
      </c>
      <c r="D127" s="520"/>
      <c r="E127" s="512"/>
      <c r="F127" s="512"/>
      <c r="G127" s="512"/>
      <c r="H127" s="527"/>
    </row>
    <row r="128" spans="1:19">
      <c r="A128" s="517">
        <v>3</v>
      </c>
      <c r="B128" s="440" t="s">
        <v>539</v>
      </c>
      <c r="C128" s="29" t="s">
        <v>520</v>
      </c>
      <c r="D128" s="521"/>
      <c r="E128" s="522"/>
      <c r="F128" s="522"/>
      <c r="G128" s="522"/>
      <c r="H128" s="528"/>
    </row>
    <row r="129" spans="1:14">
      <c r="A129" s="517"/>
      <c r="B129" s="519" t="s">
        <v>615</v>
      </c>
      <c r="C129" s="29" t="s">
        <v>520</v>
      </c>
      <c r="D129" s="550">
        <f>SUM(D126:D128)</f>
        <v>347.58500000000004</v>
      </c>
      <c r="E129" s="550">
        <f t="shared" ref="E129:H129" si="55">SUM(E126:E128)</f>
        <v>392.24402042000008</v>
      </c>
      <c r="F129" s="550">
        <f t="shared" si="55"/>
        <v>397.4</v>
      </c>
      <c r="G129" s="550">
        <f t="shared" si="55"/>
        <v>0</v>
      </c>
      <c r="H129" s="550">
        <f t="shared" si="55"/>
        <v>0</v>
      </c>
    </row>
    <row r="130" spans="1:14">
      <c r="A130" s="517"/>
      <c r="B130" s="519"/>
      <c r="C130" s="519"/>
      <c r="D130" s="519"/>
      <c r="E130" s="519"/>
      <c r="F130" s="519"/>
      <c r="G130" s="519"/>
      <c r="H130" s="519"/>
      <c r="I130" s="519"/>
      <c r="J130" s="519"/>
      <c r="K130" s="519"/>
      <c r="L130" s="519"/>
      <c r="M130" s="519"/>
      <c r="N130" s="519"/>
    </row>
    <row r="131" spans="1:14" s="525" customFormat="1" ht="15" customHeight="1">
      <c r="B131" s="529" t="s">
        <v>616</v>
      </c>
      <c r="C131" s="158" t="s">
        <v>520</v>
      </c>
      <c r="D131" s="534">
        <f>SUM(D122,D124,D129)</f>
        <v>694.08045108999795</v>
      </c>
      <c r="E131" s="534">
        <f t="shared" ref="E131:H131" si="56">SUM(E122,E124,E129)</f>
        <v>784.96880284000531</v>
      </c>
      <c r="F131" s="534">
        <f t="shared" si="56"/>
        <v>850.47963440999627</v>
      </c>
      <c r="G131" s="534">
        <f t="shared" si="56"/>
        <v>0</v>
      </c>
      <c r="H131" s="534">
        <f t="shared" si="56"/>
        <v>0</v>
      </c>
    </row>
    <row r="132" spans="1:14" ht="10.5" customHeight="1">
      <c r="B132" s="377"/>
      <c r="D132" s="530"/>
      <c r="E132" s="530"/>
      <c r="F132" s="530"/>
      <c r="G132" s="530"/>
      <c r="H132" s="530"/>
    </row>
    <row r="133" spans="1:14" ht="26.5" customHeight="1">
      <c r="B133" s="519" t="s">
        <v>617</v>
      </c>
    </row>
    <row r="134" spans="1:14">
      <c r="B134" s="531" t="s">
        <v>618</v>
      </c>
    </row>
    <row r="135" spans="1:14">
      <c r="A135" s="517">
        <v>1</v>
      </c>
      <c r="B135" s="440" t="s">
        <v>612</v>
      </c>
      <c r="C135" s="29" t="s">
        <v>520</v>
      </c>
      <c r="D135" s="1339">
        <v>-135.4</v>
      </c>
      <c r="E135" s="1339">
        <v>-139.484701</v>
      </c>
      <c r="F135" s="1339">
        <v>-139.54993876000003</v>
      </c>
      <c r="G135" s="532"/>
      <c r="H135" s="532"/>
    </row>
    <row r="136" spans="1:14" ht="7" customHeight="1">
      <c r="A136" s="517"/>
      <c r="B136" s="517"/>
      <c r="C136" s="517"/>
      <c r="D136" s="517"/>
      <c r="E136" s="517"/>
    </row>
    <row r="137" spans="1:14">
      <c r="A137" s="517">
        <v>2</v>
      </c>
      <c r="B137" s="1331" t="s">
        <v>1149</v>
      </c>
      <c r="C137" s="29" t="s">
        <v>520</v>
      </c>
      <c r="D137" s="1339">
        <v>-7.1</v>
      </c>
      <c r="E137" s="1339">
        <v>-5.7</v>
      </c>
      <c r="F137" s="1339">
        <v>-2.2999999999999998</v>
      </c>
      <c r="G137" s="532"/>
      <c r="H137" s="532"/>
    </row>
    <row r="138" spans="1:14">
      <c r="A138" s="517">
        <v>3</v>
      </c>
      <c r="B138" s="1331" t="s">
        <v>1150</v>
      </c>
      <c r="C138" s="29" t="s">
        <v>520</v>
      </c>
      <c r="D138" s="1339">
        <v>-13.896068</v>
      </c>
      <c r="E138" s="1339">
        <v>-16.100000000000001</v>
      </c>
      <c r="F138" s="1339">
        <v>-17.238824789999999</v>
      </c>
      <c r="G138" s="532"/>
      <c r="H138" s="532"/>
    </row>
    <row r="139" spans="1:14">
      <c r="A139" s="517">
        <v>4</v>
      </c>
      <c r="B139" s="1331" t="s">
        <v>1151</v>
      </c>
      <c r="C139" s="29" t="s">
        <v>520</v>
      </c>
      <c r="D139" s="1339">
        <v>-0.57982932101434459</v>
      </c>
      <c r="E139" s="1339">
        <v>0.26890258000000006</v>
      </c>
      <c r="F139" s="1339">
        <v>0.40883607000000005</v>
      </c>
      <c r="G139" s="532"/>
      <c r="H139" s="532"/>
    </row>
    <row r="140" spans="1:14">
      <c r="A140" s="517">
        <v>5</v>
      </c>
      <c r="B140" s="1331" t="s">
        <v>1152</v>
      </c>
      <c r="C140" s="29" t="s">
        <v>520</v>
      </c>
      <c r="D140" s="1339">
        <v>0.203597</v>
      </c>
      <c r="E140" s="1339">
        <v>0.3</v>
      </c>
      <c r="F140" s="1339">
        <v>0.10379260000000001</v>
      </c>
      <c r="G140" s="532"/>
      <c r="H140" s="532"/>
    </row>
    <row r="141" spans="1:14">
      <c r="A141" s="517">
        <v>6</v>
      </c>
      <c r="B141" s="1331" t="s">
        <v>1153</v>
      </c>
      <c r="C141" s="29" t="s">
        <v>520</v>
      </c>
      <c r="D141" s="1339"/>
      <c r="E141" s="1339">
        <v>0.2</v>
      </c>
      <c r="F141" s="1339">
        <v>0.29797223000000006</v>
      </c>
      <c r="G141" s="532"/>
      <c r="H141" s="532"/>
    </row>
    <row r="142" spans="1:14">
      <c r="A142" s="517">
        <v>7</v>
      </c>
      <c r="B142" s="1331" t="s">
        <v>1154</v>
      </c>
      <c r="C142" s="29" t="s">
        <v>520</v>
      </c>
      <c r="D142" s="1339"/>
      <c r="E142" s="1339">
        <v>154.57787683000001</v>
      </c>
      <c r="F142" s="1339"/>
      <c r="G142" s="532"/>
      <c r="H142" s="532"/>
    </row>
    <row r="143" spans="1:14">
      <c r="A143" s="517">
        <v>8</v>
      </c>
      <c r="B143" s="1331" t="s">
        <v>1155</v>
      </c>
      <c r="C143" s="29" t="s">
        <v>520</v>
      </c>
      <c r="D143" s="1339"/>
      <c r="E143" s="1339">
        <v>-12</v>
      </c>
      <c r="F143" s="1339"/>
      <c r="G143" s="532"/>
      <c r="H143" s="532"/>
    </row>
    <row r="144" spans="1:14">
      <c r="A144" s="517">
        <v>9</v>
      </c>
      <c r="B144" s="1331" t="s">
        <v>1156</v>
      </c>
      <c r="C144" s="29" t="s">
        <v>520</v>
      </c>
      <c r="D144" s="1339"/>
      <c r="E144" s="1339">
        <v>-0.6</v>
      </c>
      <c r="F144" s="1339"/>
      <c r="G144" s="532"/>
      <c r="H144" s="532"/>
    </row>
    <row r="145" spans="1:19">
      <c r="A145" s="517">
        <v>10</v>
      </c>
      <c r="B145" s="1331" t="s">
        <v>1157</v>
      </c>
      <c r="C145" s="29" t="s">
        <v>520</v>
      </c>
      <c r="D145" s="1339"/>
      <c r="E145" s="1339">
        <v>-0.5</v>
      </c>
      <c r="F145" s="1339"/>
      <c r="G145" s="532"/>
      <c r="H145" s="532"/>
    </row>
    <row r="146" spans="1:19">
      <c r="A146" s="517">
        <v>11</v>
      </c>
      <c r="B146" s="1331" t="s">
        <v>1158</v>
      </c>
      <c r="C146" s="29" t="s">
        <v>520</v>
      </c>
      <c r="D146" s="1339">
        <v>-4.0428220000000001</v>
      </c>
      <c r="E146" s="1339">
        <v>-3.8</v>
      </c>
      <c r="F146" s="1339">
        <v>-3.8976985899999996</v>
      </c>
      <c r="G146" s="532"/>
      <c r="H146" s="532"/>
    </row>
    <row r="147" spans="1:19">
      <c r="A147" s="517">
        <v>12</v>
      </c>
      <c r="B147" s="1331" t="s">
        <v>1159</v>
      </c>
      <c r="C147" s="29" t="s">
        <v>520</v>
      </c>
      <c r="D147" s="1339">
        <v>-11.25334</v>
      </c>
      <c r="E147" s="1339">
        <v>-10.73276706</v>
      </c>
      <c r="F147" s="1339">
        <v>-7.2329909000000017</v>
      </c>
      <c r="G147" s="532"/>
      <c r="H147" s="532"/>
    </row>
    <row r="148" spans="1:19">
      <c r="A148" s="517">
        <v>13</v>
      </c>
      <c r="B148" s="1331" t="s">
        <v>1160</v>
      </c>
      <c r="C148" s="29" t="s">
        <v>520</v>
      </c>
      <c r="D148" s="1339">
        <v>4.2552878571428572</v>
      </c>
      <c r="E148" s="1339">
        <v>0</v>
      </c>
      <c r="F148" s="1339"/>
      <c r="G148" s="532"/>
      <c r="H148" s="532"/>
    </row>
    <row r="149" spans="1:19">
      <c r="A149" s="517">
        <v>14</v>
      </c>
      <c r="B149" s="1331" t="s">
        <v>1161</v>
      </c>
      <c r="C149" s="29" t="s">
        <v>520</v>
      </c>
      <c r="D149" s="1339">
        <v>6.2968140000000004</v>
      </c>
      <c r="E149" s="1339">
        <v>6.7343092800000006</v>
      </c>
      <c r="F149" s="1339"/>
      <c r="G149" s="532"/>
      <c r="H149" s="532"/>
    </row>
    <row r="150" spans="1:19">
      <c r="A150" s="517"/>
      <c r="B150" s="1331"/>
      <c r="D150" s="1339"/>
      <c r="E150" s="1339"/>
      <c r="F150" s="1339">
        <v>0.27826899999999999</v>
      </c>
      <c r="G150" s="532"/>
      <c r="H150" s="532"/>
    </row>
    <row r="151" spans="1:19" ht="18.649999999999999" customHeight="1">
      <c r="A151" s="517"/>
      <c r="B151" s="1331" t="s">
        <v>1162</v>
      </c>
      <c r="C151" s="29" t="s">
        <v>520</v>
      </c>
      <c r="D151" s="1363">
        <f>SUM(D137:D150)</f>
        <v>-26.116360463871484</v>
      </c>
      <c r="E151" s="1363">
        <f t="shared" ref="E151:F151" si="57">SUM(E137:E150)</f>
        <v>112.64832163000001</v>
      </c>
      <c r="F151" s="1363">
        <f t="shared" si="57"/>
        <v>-29.580644380000003</v>
      </c>
      <c r="G151" s="551">
        <f t="shared" ref="G151:H151" si="58">SUM(G137:G149)</f>
        <v>0</v>
      </c>
      <c r="H151" s="551">
        <f t="shared" si="58"/>
        <v>0</v>
      </c>
    </row>
    <row r="152" spans="1:19">
      <c r="A152" s="517"/>
      <c r="B152" s="531" t="s">
        <v>619</v>
      </c>
      <c r="C152" s="519"/>
      <c r="D152" s="519"/>
      <c r="E152" s="519"/>
      <c r="F152" s="519"/>
      <c r="G152" s="519"/>
      <c r="H152" s="519"/>
    </row>
    <row r="153" spans="1:19">
      <c r="A153" s="517">
        <v>15</v>
      </c>
      <c r="B153" s="1331" t="s">
        <v>1163</v>
      </c>
      <c r="C153" s="29" t="s">
        <v>520</v>
      </c>
      <c r="D153" s="1332">
        <v>3.24</v>
      </c>
      <c r="E153" s="1332">
        <v>0</v>
      </c>
      <c r="F153" s="1332">
        <v>0</v>
      </c>
      <c r="G153" s="439"/>
      <c r="H153" s="439"/>
    </row>
    <row r="154" spans="1:19">
      <c r="A154" s="517">
        <v>16</v>
      </c>
      <c r="B154" s="1331" t="s">
        <v>1164</v>
      </c>
      <c r="C154" s="29" t="s">
        <v>520</v>
      </c>
      <c r="D154" s="1332">
        <v>0.34799999999999998</v>
      </c>
      <c r="E154" s="1332">
        <v>7.6429379999999991E-2</v>
      </c>
      <c r="F154" s="1332">
        <v>2.0762660000000006E-2</v>
      </c>
      <c r="G154" s="439"/>
      <c r="H154" s="439"/>
    </row>
    <row r="155" spans="1:19">
      <c r="A155" s="517">
        <v>17</v>
      </c>
      <c r="B155" s="1331" t="s">
        <v>1165</v>
      </c>
      <c r="C155" s="29" t="s">
        <v>520</v>
      </c>
      <c r="D155" s="1332">
        <v>-0.28599999999999998</v>
      </c>
      <c r="E155" s="1332">
        <v>0.53360541999999989</v>
      </c>
      <c r="F155" s="1332">
        <v>-3.97398513</v>
      </c>
      <c r="G155" s="439"/>
      <c r="H155" s="439"/>
    </row>
    <row r="156" spans="1:19">
      <c r="A156" s="517">
        <v>18</v>
      </c>
      <c r="B156" s="1331"/>
      <c r="C156" s="29" t="s">
        <v>520</v>
      </c>
      <c r="D156" s="1332"/>
      <c r="E156" s="1332">
        <v>0</v>
      </c>
      <c r="F156" s="1332"/>
      <c r="G156" s="439"/>
      <c r="H156" s="439"/>
      <c r="R156" s="136"/>
      <c r="S156" s="136"/>
    </row>
    <row r="157" spans="1:19">
      <c r="A157" s="517">
        <v>19</v>
      </c>
      <c r="B157" s="1331"/>
      <c r="C157" s="29" t="s">
        <v>520</v>
      </c>
      <c r="D157" s="1332"/>
      <c r="E157" s="1332"/>
      <c r="F157" s="1332"/>
      <c r="G157" s="439"/>
      <c r="H157" s="439"/>
      <c r="R157" s="136"/>
      <c r="S157" s="136"/>
    </row>
    <row r="158" spans="1:19">
      <c r="A158" s="517">
        <v>20</v>
      </c>
      <c r="B158" s="1331" t="s">
        <v>1166</v>
      </c>
      <c r="C158" s="29" t="s">
        <v>520</v>
      </c>
      <c r="D158" s="1332"/>
      <c r="E158" s="1332">
        <v>-0.22600000000000001</v>
      </c>
      <c r="F158" s="1332">
        <v>-0.29797223000000006</v>
      </c>
      <c r="G158" s="439"/>
      <c r="H158" s="439"/>
      <c r="R158" s="136"/>
      <c r="S158" s="136"/>
    </row>
    <row r="159" spans="1:19">
      <c r="A159" s="517">
        <v>21</v>
      </c>
      <c r="B159" s="1331" t="s">
        <v>1167</v>
      </c>
      <c r="C159" s="29" t="s">
        <v>520</v>
      </c>
      <c r="D159" s="1332">
        <v>-0.3</v>
      </c>
      <c r="E159" s="1332">
        <v>-0.3</v>
      </c>
      <c r="F159" s="1332">
        <v>-0.2406329416563906</v>
      </c>
      <c r="G159" s="439"/>
      <c r="H159" s="439"/>
      <c r="R159" s="136"/>
      <c r="S159" s="136"/>
    </row>
    <row r="160" spans="1:19" ht="19.5" customHeight="1" thickBot="1">
      <c r="A160" s="517"/>
      <c r="B160" s="377" t="s">
        <v>620</v>
      </c>
      <c r="C160" s="29" t="s">
        <v>520</v>
      </c>
      <c r="D160" s="552">
        <f>SUM(D153:D159)</f>
        <v>3.0020000000000002</v>
      </c>
      <c r="E160" s="552">
        <f t="shared" ref="E160:H160" si="59">SUM(E153:E159)</f>
        <v>8.403479999999991E-2</v>
      </c>
      <c r="F160" s="552">
        <f t="shared" si="59"/>
        <v>-4.4918276416563909</v>
      </c>
      <c r="G160" s="552">
        <f t="shared" si="59"/>
        <v>0</v>
      </c>
      <c r="H160" s="552">
        <f t="shared" si="59"/>
        <v>0</v>
      </c>
      <c r="R160" s="136"/>
      <c r="S160" s="136"/>
    </row>
    <row r="161" spans="1:19" ht="17.5" customHeight="1" thickBot="1">
      <c r="B161" s="519" t="s">
        <v>621</v>
      </c>
      <c r="C161" s="29" t="s">
        <v>520</v>
      </c>
      <c r="D161" s="553">
        <f>D135+D151+D160</f>
        <v>-158.51436046387147</v>
      </c>
      <c r="E161" s="554">
        <f>E135+E151+E160</f>
        <v>-26.752344569999988</v>
      </c>
      <c r="F161" s="554">
        <f>F135+F151+F160</f>
        <v>-173.62241078165641</v>
      </c>
      <c r="G161" s="554">
        <f>G135+G151+G160</f>
        <v>0</v>
      </c>
      <c r="H161" s="555">
        <f>H135+H151+H160</f>
        <v>0</v>
      </c>
      <c r="R161" s="136"/>
      <c r="S161" s="136"/>
    </row>
    <row r="162" spans="1:19">
      <c r="B162" s="377"/>
      <c r="D162" s="530"/>
      <c r="E162" s="530"/>
      <c r="F162" s="530"/>
      <c r="G162" s="530"/>
      <c r="H162" s="530"/>
      <c r="R162" s="136"/>
      <c r="S162" s="136"/>
    </row>
    <row r="163" spans="1:19">
      <c r="B163" s="519" t="s">
        <v>622</v>
      </c>
      <c r="C163" s="29" t="s">
        <v>520</v>
      </c>
      <c r="D163" s="534">
        <f>D161+D131</f>
        <v>535.56609062612642</v>
      </c>
      <c r="E163" s="534">
        <f>E161+E131</f>
        <v>758.21645827000532</v>
      </c>
      <c r="F163" s="534">
        <f>F161+F131</f>
        <v>676.85722362833985</v>
      </c>
      <c r="G163" s="534">
        <f>G161+G131</f>
        <v>0</v>
      </c>
      <c r="H163" s="534">
        <f>H161+H131</f>
        <v>0</v>
      </c>
      <c r="R163" s="466"/>
      <c r="S163" s="136"/>
    </row>
    <row r="164" spans="1:19">
      <c r="B164" s="1264" t="s">
        <v>623</v>
      </c>
      <c r="C164" s="29" t="str">
        <f>Price_basis</f>
        <v>£m 18/19</v>
      </c>
      <c r="D164" s="1340">
        <v>493.7</v>
      </c>
      <c r="E164" s="1340">
        <v>642.61</v>
      </c>
      <c r="F164" s="1340">
        <v>544.63743561321871</v>
      </c>
      <c r="G164" s="533"/>
      <c r="H164" s="533"/>
      <c r="I164" s="377" t="s">
        <v>624</v>
      </c>
      <c r="R164" s="136"/>
      <c r="S164" s="136"/>
    </row>
    <row r="165" spans="1:19">
      <c r="B165" s="1264" t="s">
        <v>625</v>
      </c>
      <c r="C165" s="29" t="s">
        <v>520</v>
      </c>
      <c r="D165" s="1340"/>
      <c r="E165" s="1340"/>
      <c r="F165" s="1340"/>
      <c r="G165" s="533"/>
      <c r="H165" s="533"/>
      <c r="I165" s="377" t="s">
        <v>624</v>
      </c>
    </row>
    <row r="166" spans="1:19">
      <c r="B166" s="377" t="s">
        <v>626</v>
      </c>
      <c r="C166" s="29" t="s">
        <v>520</v>
      </c>
      <c r="D166" s="556">
        <f>IF(Licensee="ESO",D165, IF(Sector="ED2",D165,D164*INDEX(real_to_nominal_CF,MATCH(D6,calendar_year,0))))</f>
        <v>535.55762887378</v>
      </c>
      <c r="E166" s="556">
        <f>IF(Licensee="ESO",E165, IF(Sector="ED2",E165,E164*INDEX(real_to_nominal_CF,MATCH(E6,calendar_year,0))))</f>
        <v>758.25654711041909</v>
      </c>
      <c r="F166" s="556">
        <f>IF(Licensee="ESO",F165, IF(Sector="ED2",F165,F164*INDEX(real_to_nominal_CF,MATCH(F6,calendar_year,0))))</f>
        <v>678.29976528834004</v>
      </c>
      <c r="G166" s="556">
        <f>IF(Licensee="ESO",G165, IF(Sector="ED2",G165,G164*INDEX(real_to_nominal_CF,MATCH(G6,calendar_year,0))))</f>
        <v>0</v>
      </c>
      <c r="H166" s="556">
        <f>IF(Licensee="ESO",H165, IF(Sector="ED2",H165,H164*INDEX(real_to_nominal_CF,MATCH(H6,calendar_year,0))))</f>
        <v>0</v>
      </c>
      <c r="I166" s="136"/>
      <c r="R166" s="136"/>
      <c r="S166" s="136"/>
    </row>
    <row r="167" spans="1:19">
      <c r="B167" s="377"/>
      <c r="C167" s="29" t="s">
        <v>627</v>
      </c>
      <c r="D167" s="557" t="str">
        <f>IF(ISNUMBER(D166),"N/A",IF(D$108="Actuals",IF(ABS(D163-D166)&lt;materiality_threshold,"OK","ERROR"),"N/A"))</f>
        <v>N/A</v>
      </c>
      <c r="E167" s="557" t="str">
        <f>IF(ISNUMBER(E166),"N/A",IF(E$108="Actuals",IF(ABS(E163-E166)&lt;materiality_threshold,"OK","ERROR"),"N/A"))</f>
        <v>N/A</v>
      </c>
      <c r="F167" s="557" t="str">
        <f>IF(ISNUMBER(F166),"N/A",IF(F$108="Actuals",IF(ABS(F163-F166)&lt;materiality_threshold,"OK","ERROR"),"N/A"))</f>
        <v>N/A</v>
      </c>
      <c r="G167" s="557" t="str">
        <f>IF(ISNUMBER(G166),"N/A",IF(G$108="Actuals",IF(ABS(G163-G166)&lt;materiality_threshold,"OK","ERROR"),"N/A"))</f>
        <v>N/A</v>
      </c>
      <c r="H167" s="557" t="str">
        <f>IF(ISNUMBER(H166),"N/A",IF(H$108="Actuals",IF(ABS(H163-H166)&lt;materiality_threshold,"OK","ERROR"),"N/A"))</f>
        <v>N/A</v>
      </c>
      <c r="R167" s="136"/>
      <c r="S167" s="136"/>
    </row>
    <row r="168" spans="1:19">
      <c r="B168" s="377" t="s">
        <v>244</v>
      </c>
      <c r="R168" s="136"/>
      <c r="S168" s="136"/>
    </row>
    <row r="169" spans="1:19">
      <c r="B169" s="519" t="s">
        <v>628</v>
      </c>
    </row>
    <row r="170" spans="1:19">
      <c r="A170" s="517">
        <v>1</v>
      </c>
      <c r="B170" s="1331" t="s">
        <v>1168</v>
      </c>
      <c r="C170" s="29" t="s">
        <v>520</v>
      </c>
      <c r="D170" s="1332">
        <v>200.6</v>
      </c>
      <c r="E170" s="1332">
        <v>348.85</v>
      </c>
      <c r="F170" s="1332">
        <v>151.40869000000001</v>
      </c>
      <c r="G170" s="439"/>
      <c r="H170" s="439"/>
    </row>
    <row r="171" spans="1:19">
      <c r="A171" s="517">
        <v>2</v>
      </c>
      <c r="B171" s="1331" t="s">
        <v>542</v>
      </c>
      <c r="C171" s="29" t="s">
        <v>520</v>
      </c>
      <c r="D171" s="520"/>
      <c r="E171" s="512"/>
      <c r="F171" s="512"/>
      <c r="G171" s="512"/>
      <c r="H171" s="512"/>
    </row>
    <row r="172" spans="1:19">
      <c r="A172" s="517">
        <v>3</v>
      </c>
      <c r="B172" s="1331" t="s">
        <v>542</v>
      </c>
      <c r="C172" s="29" t="s">
        <v>520</v>
      </c>
      <c r="D172" s="520"/>
      <c r="E172" s="512"/>
      <c r="F172" s="512"/>
      <c r="G172" s="512"/>
      <c r="H172" s="512"/>
    </row>
    <row r="173" spans="1:19">
      <c r="A173" s="517">
        <v>4</v>
      </c>
      <c r="B173" s="1331" t="s">
        <v>542</v>
      </c>
      <c r="C173" s="29" t="s">
        <v>520</v>
      </c>
      <c r="D173" s="520"/>
      <c r="E173" s="512"/>
      <c r="F173" s="512"/>
      <c r="G173" s="512"/>
      <c r="H173" s="512"/>
    </row>
    <row r="174" spans="1:19">
      <c r="A174" s="517">
        <v>5</v>
      </c>
      <c r="B174" s="1331" t="s">
        <v>542</v>
      </c>
      <c r="C174" s="29" t="s">
        <v>520</v>
      </c>
      <c r="D174" s="520"/>
      <c r="E174" s="512"/>
      <c r="F174" s="512"/>
      <c r="G174" s="512"/>
      <c r="H174" s="512"/>
    </row>
    <row r="175" spans="1:19">
      <c r="A175" s="517">
        <v>6</v>
      </c>
      <c r="B175" s="1331" t="s">
        <v>542</v>
      </c>
      <c r="C175" s="29" t="s">
        <v>520</v>
      </c>
      <c r="D175" s="520"/>
      <c r="E175" s="512"/>
      <c r="F175" s="512"/>
      <c r="G175" s="512"/>
      <c r="H175" s="512"/>
    </row>
    <row r="176" spans="1:19">
      <c r="A176" s="517">
        <v>7</v>
      </c>
      <c r="B176" s="1331" t="s">
        <v>542</v>
      </c>
      <c r="C176" s="29" t="s">
        <v>520</v>
      </c>
      <c r="D176" s="520"/>
      <c r="E176" s="512"/>
      <c r="F176" s="512"/>
      <c r="G176" s="512"/>
      <c r="H176" s="512"/>
    </row>
    <row r="177" spans="1:19">
      <c r="A177" s="517">
        <v>8</v>
      </c>
      <c r="B177" s="1331" t="s">
        <v>542</v>
      </c>
      <c r="C177" s="29" t="s">
        <v>520</v>
      </c>
      <c r="D177" s="520"/>
      <c r="E177" s="512"/>
      <c r="F177" s="512"/>
      <c r="G177" s="512"/>
      <c r="H177" s="512"/>
    </row>
    <row r="178" spans="1:19">
      <c r="A178" s="517">
        <v>9</v>
      </c>
      <c r="B178" s="1331" t="s">
        <v>542</v>
      </c>
      <c r="C178" s="29" t="s">
        <v>520</v>
      </c>
      <c r="D178" s="520"/>
      <c r="E178" s="512"/>
      <c r="F178" s="512"/>
      <c r="G178" s="512"/>
      <c r="H178" s="512"/>
    </row>
    <row r="179" spans="1:19">
      <c r="A179" s="517">
        <v>10</v>
      </c>
      <c r="B179" s="1331" t="s">
        <v>542</v>
      </c>
      <c r="C179" s="29" t="s">
        <v>520</v>
      </c>
      <c r="D179" s="520"/>
      <c r="E179" s="512"/>
      <c r="F179" s="512"/>
      <c r="G179" s="512"/>
      <c r="H179" s="512"/>
    </row>
    <row r="180" spans="1:19">
      <c r="A180" s="517">
        <v>11</v>
      </c>
      <c r="B180" s="1331" t="s">
        <v>542</v>
      </c>
      <c r="C180" s="29" t="s">
        <v>520</v>
      </c>
      <c r="D180" s="520"/>
      <c r="E180" s="512"/>
      <c r="F180" s="512"/>
      <c r="G180" s="512"/>
      <c r="H180" s="512"/>
    </row>
    <row r="181" spans="1:19">
      <c r="A181" s="517">
        <v>12</v>
      </c>
      <c r="B181" s="1331" t="s">
        <v>542</v>
      </c>
      <c r="C181" s="29" t="s">
        <v>520</v>
      </c>
      <c r="D181" s="520"/>
      <c r="E181" s="512"/>
      <c r="F181" s="512"/>
      <c r="G181" s="512"/>
      <c r="H181" s="512"/>
    </row>
    <row r="182" spans="1:19">
      <c r="A182" s="517">
        <v>13</v>
      </c>
      <c r="B182" s="1331" t="s">
        <v>542</v>
      </c>
      <c r="C182" s="29" t="s">
        <v>520</v>
      </c>
      <c r="D182" s="520"/>
      <c r="E182" s="512"/>
      <c r="F182" s="512"/>
      <c r="G182" s="512"/>
      <c r="H182" s="512"/>
    </row>
    <row r="183" spans="1:19">
      <c r="A183" s="517">
        <v>14</v>
      </c>
      <c r="B183" s="1331" t="s">
        <v>542</v>
      </c>
      <c r="C183" s="29" t="s">
        <v>520</v>
      </c>
      <c r="D183" s="520"/>
      <c r="E183" s="512"/>
      <c r="F183" s="512"/>
      <c r="G183" s="512"/>
      <c r="H183" s="512"/>
      <c r="R183" s="136"/>
      <c r="S183" s="136"/>
    </row>
    <row r="184" spans="1:19">
      <c r="A184" s="517">
        <v>15</v>
      </c>
      <c r="B184" s="1331" t="s">
        <v>542</v>
      </c>
      <c r="C184" s="29" t="s">
        <v>520</v>
      </c>
      <c r="D184" s="520"/>
      <c r="E184" s="512"/>
      <c r="F184" s="512"/>
      <c r="G184" s="512"/>
      <c r="H184" s="512"/>
      <c r="R184" s="136"/>
      <c r="S184" s="136"/>
    </row>
    <row r="185" spans="1:19">
      <c r="A185" s="517">
        <v>16</v>
      </c>
      <c r="B185" s="1331" t="s">
        <v>542</v>
      </c>
      <c r="C185" s="29" t="s">
        <v>520</v>
      </c>
      <c r="D185" s="520"/>
      <c r="E185" s="512"/>
      <c r="F185" s="512"/>
      <c r="G185" s="512"/>
      <c r="H185" s="512"/>
      <c r="R185" s="136"/>
      <c r="S185" s="136"/>
    </row>
    <row r="186" spans="1:19">
      <c r="A186" s="517">
        <v>17</v>
      </c>
      <c r="B186" s="1331" t="s">
        <v>542</v>
      </c>
      <c r="C186" s="29" t="s">
        <v>520</v>
      </c>
      <c r="D186" s="520"/>
      <c r="E186" s="512"/>
      <c r="F186" s="512"/>
      <c r="G186" s="512"/>
      <c r="H186" s="512"/>
      <c r="R186" s="136"/>
      <c r="S186" s="136"/>
    </row>
    <row r="187" spans="1:19">
      <c r="A187" s="517">
        <v>18</v>
      </c>
      <c r="B187" s="1331" t="s">
        <v>542</v>
      </c>
      <c r="C187" s="29" t="s">
        <v>520</v>
      </c>
      <c r="D187" s="520"/>
      <c r="E187" s="512"/>
      <c r="F187" s="512"/>
      <c r="G187" s="512"/>
      <c r="H187" s="512"/>
      <c r="R187" s="136"/>
      <c r="S187" s="136"/>
    </row>
    <row r="188" spans="1:19">
      <c r="A188" s="517">
        <v>19</v>
      </c>
      <c r="B188" s="1331" t="s">
        <v>542</v>
      </c>
      <c r="C188" s="29" t="s">
        <v>520</v>
      </c>
      <c r="D188" s="520"/>
      <c r="E188" s="512"/>
      <c r="F188" s="512"/>
      <c r="G188" s="512"/>
      <c r="H188" s="512"/>
      <c r="R188" s="136"/>
      <c r="S188" s="136"/>
    </row>
    <row r="189" spans="1:19">
      <c r="A189" s="517">
        <v>20</v>
      </c>
      <c r="B189" s="1331" t="s">
        <v>542</v>
      </c>
      <c r="C189" s="29" t="s">
        <v>520</v>
      </c>
      <c r="D189" s="520"/>
      <c r="E189" s="512"/>
      <c r="F189" s="512"/>
      <c r="G189" s="512"/>
      <c r="H189" s="512"/>
      <c r="R189" s="136"/>
      <c r="S189" s="136"/>
    </row>
    <row r="190" spans="1:19">
      <c r="A190" s="517">
        <v>21</v>
      </c>
      <c r="B190" s="1331" t="s">
        <v>542</v>
      </c>
      <c r="C190" s="29" t="s">
        <v>520</v>
      </c>
      <c r="D190" s="520"/>
      <c r="E190" s="512"/>
      <c r="F190" s="512"/>
      <c r="G190" s="512"/>
      <c r="H190" s="512"/>
      <c r="R190" s="136"/>
      <c r="S190" s="136"/>
    </row>
    <row r="191" spans="1:19">
      <c r="A191" s="517">
        <v>22</v>
      </c>
      <c r="B191" s="1331" t="s">
        <v>542</v>
      </c>
      <c r="C191" s="29" t="s">
        <v>520</v>
      </c>
      <c r="D191" s="520"/>
      <c r="E191" s="512"/>
      <c r="F191" s="512"/>
      <c r="G191" s="512"/>
      <c r="H191" s="512"/>
      <c r="R191" s="136"/>
      <c r="S191" s="136"/>
    </row>
    <row r="192" spans="1:19">
      <c r="A192" s="517">
        <v>23</v>
      </c>
      <c r="B192" s="1331" t="s">
        <v>542</v>
      </c>
      <c r="C192" s="29" t="s">
        <v>520</v>
      </c>
      <c r="D192" s="520"/>
      <c r="E192" s="512"/>
      <c r="F192" s="512"/>
      <c r="G192" s="512"/>
      <c r="H192" s="512"/>
      <c r="R192" s="136"/>
      <c r="S192" s="136"/>
    </row>
    <row r="193" spans="1:19">
      <c r="A193" s="517">
        <v>24</v>
      </c>
      <c r="B193" s="1331" t="s">
        <v>542</v>
      </c>
      <c r="C193" s="29" t="s">
        <v>520</v>
      </c>
      <c r="D193" s="520"/>
      <c r="E193" s="512"/>
      <c r="F193" s="512"/>
      <c r="G193" s="512"/>
      <c r="H193" s="512"/>
      <c r="R193" s="466"/>
      <c r="S193" s="136"/>
    </row>
    <row r="194" spans="1:19">
      <c r="A194" s="517">
        <v>25</v>
      </c>
      <c r="B194" s="1331" t="s">
        <v>542</v>
      </c>
      <c r="C194" s="29" t="s">
        <v>520</v>
      </c>
      <c r="D194" s="520"/>
      <c r="E194" s="512"/>
      <c r="F194" s="512"/>
      <c r="G194" s="512"/>
      <c r="H194" s="512"/>
      <c r="R194" s="136"/>
      <c r="S194" s="136"/>
    </row>
    <row r="195" spans="1:19">
      <c r="B195" s="519" t="s">
        <v>629</v>
      </c>
      <c r="C195" s="29" t="s">
        <v>520</v>
      </c>
      <c r="D195" s="534">
        <f>SUM(D170:D194)</f>
        <v>200.6</v>
      </c>
      <c r="E195" s="534">
        <f t="shared" ref="E195:H195" si="60">SUM(E170:E194)</f>
        <v>348.85</v>
      </c>
      <c r="F195" s="534">
        <f t="shared" si="60"/>
        <v>151.40869000000001</v>
      </c>
      <c r="G195" s="534">
        <f t="shared" si="60"/>
        <v>0</v>
      </c>
      <c r="H195" s="534">
        <f t="shared" si="60"/>
        <v>0</v>
      </c>
      <c r="R195" s="136"/>
      <c r="S195" s="136"/>
    </row>
    <row r="196" spans="1:19">
      <c r="B196" s="377"/>
      <c r="D196" s="29"/>
      <c r="E196" s="29"/>
      <c r="F196" s="29"/>
      <c r="G196" s="29"/>
      <c r="H196" s="29"/>
      <c r="I196" s="29"/>
      <c r="J196" s="29"/>
      <c r="R196" s="136"/>
      <c r="S196" s="136"/>
    </row>
    <row r="197" spans="1:19">
      <c r="B197" s="519" t="s">
        <v>630</v>
      </c>
      <c r="C197" s="29" t="s">
        <v>520</v>
      </c>
      <c r="D197" s="534">
        <f>D163-D195</f>
        <v>334.9660906261264</v>
      </c>
      <c r="E197" s="534">
        <f t="shared" ref="E197:H197" si="61">E163-E195</f>
        <v>409.3664582700053</v>
      </c>
      <c r="F197" s="534">
        <f t="shared" si="61"/>
        <v>525.44853362833987</v>
      </c>
      <c r="G197" s="534">
        <f t="shared" si="61"/>
        <v>0</v>
      </c>
      <c r="H197" s="534">
        <f t="shared" si="61"/>
        <v>0</v>
      </c>
    </row>
    <row r="198" spans="1:19">
      <c r="B198" s="519" t="s">
        <v>631</v>
      </c>
      <c r="C198" s="29" t="s">
        <v>520</v>
      </c>
      <c r="D198" s="558">
        <f>('R3 - Totex - Reconciliation'!D$13+'R3 - Totex - Reconciliation'!D$47+'R3 - Totex - Reconciliation'!D76)*INDEX(real_to_nominal_CF,MATCH(D$109,calendar_year,0))</f>
        <v>334.99853236522483</v>
      </c>
      <c r="E198" s="558">
        <f>('R3 - Totex - Reconciliation'!E$13+'R3 - Totex - Reconciliation'!E$47+'R3 - Totex - Reconciliation'!E76)*INDEX(real_to_nominal_CF,MATCH(E$109,calendar_year,0))</f>
        <v>409.3627909156034</v>
      </c>
      <c r="F198" s="558">
        <f>('R3 - Totex - Reconciliation'!F$13+'R3 - Totex - Reconciliation'!F$47+'R3 - Totex - Reconciliation'!F76)*INDEX(real_to_nominal_CF,MATCH(F$109,calendar_year,0))</f>
        <v>525.41604763082182</v>
      </c>
      <c r="G198" s="558">
        <f>('R3 - Totex - Reconciliation'!G$13+'R3 - Totex - Reconciliation'!G$47+'R3 - Totex - Reconciliation'!G76)*INDEX(real_to_nominal_CF,MATCH(G$109,calendar_year,0))</f>
        <v>624.30886786589519</v>
      </c>
      <c r="H198" s="559">
        <f>('R3 - Totex - Reconciliation'!H$13+'R3 - Totex - Reconciliation'!H$47+'R3 - Totex - Reconciliation'!H76)*INDEX(real_to_nominal_CF,MATCH(H$109,calendar_year,0))</f>
        <v>566.56957150524579</v>
      </c>
      <c r="I198" s="377" t="s">
        <v>632</v>
      </c>
    </row>
    <row r="199" spans="1:19">
      <c r="B199" s="377"/>
      <c r="C199" s="29" t="s">
        <v>627</v>
      </c>
      <c r="D199" s="560" t="str">
        <f>IF(D$108="Actuals",IF(ABS(D197-('R3 - Totex - Reconciliation'!D13+'R3 - Totex - Reconciliation'!D47+D76)*INDEX(real_to_nominal_CF,MATCH(D6,Data!$F$33:$L$33,0)))&lt;materiality_threshold,"OK","Error"),"N/A")</f>
        <v>OK</v>
      </c>
      <c r="E199" s="560" t="str">
        <f>IF(E$108="Actuals",IF(ABS(E197-('R3 - Totex - Reconciliation'!E13+'R3 - Totex - Reconciliation'!E47+E76)*INDEX(real_to_nominal_CF,MATCH(E6,Data!$F$33:$L$33,0)))&lt;materiality_threshold,"OK","Error"),"N/A")</f>
        <v>OK</v>
      </c>
      <c r="F199" s="560" t="str">
        <f>IF(F$108="Actuals",IF(ABS(F197-('R3 - Totex - Reconciliation'!F13+'R3 - Totex - Reconciliation'!F47+F76)*INDEX(real_to_nominal_CF,MATCH(F6,Data!$F$33:$L$33,0)))&lt;materiality_threshold,"OK","Error"),"N/A")</f>
        <v>OK</v>
      </c>
      <c r="G199" s="560" t="str">
        <f>IF(G$108="Actuals",IF(ABS(G197-('R3 - Totex - Reconciliation'!G13+'R3 - Totex - Reconciliation'!G47+G76)*INDEX(real_to_nominal_CF,MATCH(G6,Data!$F$33:$L$33,0)))&lt;materiality_threshold,"OK","Error"),"N/A")</f>
        <v>N/A</v>
      </c>
      <c r="H199" s="560" t="str">
        <f>IF(H$108="Actuals",IF(ABS(H197-('R3 - Totex - Reconciliation'!H13+'R3 - Totex - Reconciliation'!H47+H76)*INDEX(real_to_nominal_CF,MATCH(H6,Data!$F$33:$L$33,0)))&lt;materiality_threshold,"OK","Error"),"N/A")</f>
        <v>N/A</v>
      </c>
      <c r="I199" s="377" t="s">
        <v>633</v>
      </c>
    </row>
    <row r="200" spans="1:19">
      <c r="B200" s="377"/>
      <c r="C200" s="377"/>
    </row>
    <row r="201" spans="1:19">
      <c r="B201" s="466" t="s">
        <v>634</v>
      </c>
    </row>
    <row r="203" spans="1:19">
      <c r="B203" s="467" t="s">
        <v>576</v>
      </c>
      <c r="C203" s="136"/>
      <c r="D203" s="136"/>
      <c r="E203" s="136"/>
      <c r="F203" s="136"/>
    </row>
    <row r="204" spans="1:19">
      <c r="B204" s="1423"/>
      <c r="C204" s="1424"/>
      <c r="D204" s="1424"/>
      <c r="E204" s="1424"/>
      <c r="F204" s="1426"/>
    </row>
    <row r="205" spans="1:19">
      <c r="B205" s="470"/>
      <c r="C205" s="471"/>
      <c r="D205" s="472"/>
      <c r="E205" s="473"/>
      <c r="F205" s="474"/>
    </row>
    <row r="206" spans="1:19">
      <c r="B206" s="470"/>
      <c r="C206" s="471"/>
      <c r="D206" s="472"/>
      <c r="E206" s="473"/>
      <c r="F206" s="474"/>
    </row>
    <row r="207" spans="1:19">
      <c r="B207" s="470"/>
      <c r="C207" s="471"/>
      <c r="D207" s="472"/>
      <c r="E207" s="473"/>
      <c r="F207" s="474"/>
    </row>
    <row r="208" spans="1:19">
      <c r="B208" s="470"/>
      <c r="C208" s="471"/>
      <c r="D208" s="472"/>
      <c r="E208" s="473"/>
      <c r="F208" s="474"/>
      <c r="R208" s="136"/>
      <c r="S208" s="136"/>
    </row>
    <row r="209" spans="2:6">
      <c r="B209" s="475"/>
      <c r="C209" s="476"/>
      <c r="D209" s="477"/>
      <c r="E209" s="478"/>
      <c r="F209" s="479"/>
    </row>
    <row r="226" spans="2:3">
      <c r="B226" s="377"/>
      <c r="C226" s="377"/>
    </row>
    <row r="227" spans="2:3">
      <c r="B227" s="377"/>
      <c r="C227" s="377"/>
    </row>
    <row r="228" spans="2:3">
      <c r="B228" s="377"/>
      <c r="C228" s="377"/>
    </row>
    <row r="229" spans="2:3">
      <c r="B229" s="377"/>
      <c r="C229" s="377"/>
    </row>
    <row r="230" spans="2:3">
      <c r="B230" s="377"/>
      <c r="C230" s="377"/>
    </row>
    <row r="231" spans="2:3">
      <c r="B231" s="377"/>
      <c r="C231" s="377"/>
    </row>
    <row r="232" spans="2:3">
      <c r="B232" s="377"/>
      <c r="C232" s="377"/>
    </row>
    <row r="233" spans="2:3">
      <c r="B233" s="377"/>
      <c r="C233" s="377"/>
    </row>
    <row r="237" spans="2:3" ht="12.75" customHeight="1"/>
    <row r="244" ht="29.25" customHeight="1"/>
  </sheetData>
  <sheetProtection insertRows="0"/>
  <mergeCells count="2">
    <mergeCell ref="K15:M15"/>
    <mergeCell ref="B204:F204"/>
  </mergeCells>
  <phoneticPr fontId="261" type="noConversion"/>
  <conditionalFormatting sqref="B40">
    <cfRule type="expression" dxfId="94" priority="67">
      <formula>$B$51="n/a"</formula>
    </cfRule>
  </conditionalFormatting>
  <conditionalFormatting sqref="B69">
    <cfRule type="expression" dxfId="93" priority="66">
      <formula>$B$51="n/a"</formula>
    </cfRule>
  </conditionalFormatting>
  <conditionalFormatting sqref="B93">
    <cfRule type="expression" dxfId="92" priority="65">
      <formula>$B$51="n/a"</formula>
    </cfRule>
  </conditionalFormatting>
  <conditionalFormatting sqref="C23:C30">
    <cfRule type="expression" dxfId="91" priority="71">
      <formula>$B$45="n/a"</formula>
    </cfRule>
  </conditionalFormatting>
  <conditionalFormatting sqref="C33:C35">
    <cfRule type="expression" dxfId="90" priority="24">
      <formula>$B$45="n/a"</formula>
    </cfRule>
  </conditionalFormatting>
  <conditionalFormatting sqref="C37:C38">
    <cfRule type="expression" dxfId="89" priority="21">
      <formula>$B$45="n/a"</formula>
    </cfRule>
  </conditionalFormatting>
  <conditionalFormatting sqref="C45 B46:C54 B73:C73 Q73:T73 C74 B75:C84 B97:C97">
    <cfRule type="expression" dxfId="88" priority="88">
      <formula>$B$45="n/a"</formula>
    </cfRule>
  </conditionalFormatting>
  <conditionalFormatting sqref="C57:C59">
    <cfRule type="expression" dxfId="87" priority="70">
      <formula>$B$45="n/a"</formula>
    </cfRule>
  </conditionalFormatting>
  <conditionalFormatting sqref="C62:C64">
    <cfRule type="expression" dxfId="86" priority="22">
      <formula>$B$45="n/a"</formula>
    </cfRule>
  </conditionalFormatting>
  <conditionalFormatting sqref="C66:C67">
    <cfRule type="expression" dxfId="85" priority="20">
      <formula>$B$45="n/a"</formula>
    </cfRule>
  </conditionalFormatting>
  <conditionalFormatting sqref="C86:C88">
    <cfRule type="expression" dxfId="84" priority="68">
      <formula>$B$45="n/a"</formula>
    </cfRule>
  </conditionalFormatting>
  <conditionalFormatting sqref="C90:C91">
    <cfRule type="expression" dxfId="83" priority="27">
      <formula>$B$44="n/a"</formula>
    </cfRule>
  </conditionalFormatting>
  <conditionalFormatting sqref="D5:G6">
    <cfRule type="expression" dxfId="82" priority="92">
      <formula>AND(D$5="Actuals",E$5="Forecast")</formula>
    </cfRule>
  </conditionalFormatting>
  <conditionalFormatting sqref="D108:G109">
    <cfRule type="expression" dxfId="81" priority="84">
      <formula>AND(D$5="Actuals",E$5="N/A")</formula>
    </cfRule>
  </conditionalFormatting>
  <conditionalFormatting sqref="D7:H7">
    <cfRule type="expression" dxfId="80" priority="77">
      <formula>AND(D$5="Actuals",E$5="Forecast")</formula>
    </cfRule>
  </conditionalFormatting>
  <conditionalFormatting sqref="D110:H110">
    <cfRule type="expression" dxfId="79" priority="76">
      <formula>AND(D$5="Actuals",E$5="Forecast")</formula>
    </cfRule>
  </conditionalFormatting>
  <conditionalFormatting sqref="G113:H121 G124:H124 G135:H135">
    <cfRule type="expression" dxfId="78" priority="74">
      <formula>G$108="N/A"</formula>
    </cfRule>
  </conditionalFormatting>
  <conditionalFormatting sqref="D127:H129 D131:H131 G126:H126">
    <cfRule type="expression" dxfId="77" priority="46">
      <formula>D$108="N/A"</formula>
    </cfRule>
  </conditionalFormatting>
  <conditionalFormatting sqref="G137:H151">
    <cfRule type="expression" dxfId="76" priority="32">
      <formula>G$108="N/A"</formula>
    </cfRule>
  </conditionalFormatting>
  <conditionalFormatting sqref="D160:H161 G153:H159">
    <cfRule type="expression" dxfId="75" priority="31">
      <formula>D$108="N/A"</formula>
    </cfRule>
  </conditionalFormatting>
  <conditionalFormatting sqref="D163:H163 G164:H165">
    <cfRule type="expression" dxfId="74" priority="37">
      <formula>D$108="N/A"</formula>
    </cfRule>
  </conditionalFormatting>
  <conditionalFormatting sqref="D168:H169 D171:H195 G170:H170">
    <cfRule type="expression" dxfId="73" priority="42">
      <formula>D$108="N/A"</formula>
    </cfRule>
  </conditionalFormatting>
  <conditionalFormatting sqref="E122:H122">
    <cfRule type="expression" dxfId="72" priority="64">
      <formula>E$108="N/A"</formula>
    </cfRule>
  </conditionalFormatting>
  <conditionalFormatting sqref="H5:H6">
    <cfRule type="expression" dxfId="71" priority="293">
      <formula>AND(H$5="Actuals",#REF!="Forecast")</formula>
    </cfRule>
  </conditionalFormatting>
  <conditionalFormatting sqref="H108:H109">
    <cfRule type="expression" dxfId="70" priority="310">
      <formula>AND(H$5="Actuals",#REF!="N/A")</formula>
    </cfRule>
  </conditionalFormatting>
  <conditionalFormatting sqref="F113:F121">
    <cfRule type="expression" dxfId="69" priority="19">
      <formula>F$108="N/A"</formula>
    </cfRule>
  </conditionalFormatting>
  <conditionalFormatting sqref="D113:E121">
    <cfRule type="expression" dxfId="68" priority="18">
      <formula>D$108="N/A"</formula>
    </cfRule>
  </conditionalFormatting>
  <conditionalFormatting sqref="F124">
    <cfRule type="expression" dxfId="67" priority="17">
      <formula>F$108="N/A"</formula>
    </cfRule>
  </conditionalFormatting>
  <conditionalFormatting sqref="D124:E124">
    <cfRule type="expression" dxfId="66" priority="16">
      <formula>D$108="N/A"</formula>
    </cfRule>
  </conditionalFormatting>
  <conditionalFormatting sqref="F126">
    <cfRule type="expression" dxfId="65" priority="15">
      <formula>F$108="N/A"</formula>
    </cfRule>
  </conditionalFormatting>
  <conditionalFormatting sqref="D126:E126">
    <cfRule type="expression" dxfId="64" priority="14">
      <formula>D$108="N/A"</formula>
    </cfRule>
  </conditionalFormatting>
  <conditionalFormatting sqref="F135">
    <cfRule type="expression" dxfId="63" priority="13">
      <formula>F$108="N/A"</formula>
    </cfRule>
  </conditionalFormatting>
  <conditionalFormatting sqref="D135:E135">
    <cfRule type="expression" dxfId="62" priority="12">
      <formula>D$108="N/A"</formula>
    </cfRule>
  </conditionalFormatting>
  <conditionalFormatting sqref="F153:F159">
    <cfRule type="expression" dxfId="61" priority="9">
      <formula>F$108="N/A"</formula>
    </cfRule>
  </conditionalFormatting>
  <conditionalFormatting sqref="D153:E159">
    <cfRule type="expression" dxfId="60" priority="8">
      <formula>D$108="N/A"</formula>
    </cfRule>
  </conditionalFormatting>
  <conditionalFormatting sqref="F170">
    <cfRule type="expression" dxfId="59" priority="7">
      <formula>F$108="N/A"</formula>
    </cfRule>
  </conditionalFormatting>
  <conditionalFormatting sqref="D170:E170">
    <cfRule type="expression" dxfId="58" priority="6">
      <formula>D$108="N/A"</formula>
    </cfRule>
  </conditionalFormatting>
  <conditionalFormatting sqref="F164:F165">
    <cfRule type="expression" dxfId="57" priority="5">
      <formula>F$108="N/A"</formula>
    </cfRule>
  </conditionalFormatting>
  <conditionalFormatting sqref="D164:E165">
    <cfRule type="expression" dxfId="56" priority="4">
      <formula>D$108="N/A"</formula>
    </cfRule>
  </conditionalFormatting>
  <conditionalFormatting sqref="F137:F150">
    <cfRule type="expression" dxfId="55" priority="3">
      <formula>F$108="N/A"</formula>
    </cfRule>
  </conditionalFormatting>
  <conditionalFormatting sqref="D137:E150">
    <cfRule type="expression" dxfId="54" priority="2">
      <formula>D$108="N/A"</formula>
    </cfRule>
  </conditionalFormatting>
  <conditionalFormatting sqref="D151:F151">
    <cfRule type="expression" dxfId="53" priority="1">
      <formula>D$108="N/A"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Normal="100" workbookViewId="0"/>
  </sheetViews>
  <sheetFormatPr defaultColWidth="9" defaultRowHeight="13.5"/>
  <cols>
    <col min="1" max="1" width="8.3828125" style="136" customWidth="1"/>
    <col min="2" max="2" width="71.3828125" style="136" bestFit="1" customWidth="1"/>
    <col min="3" max="3" width="13.3828125" style="29" customWidth="1"/>
    <col min="4" max="8" width="11.15234375" style="136" customWidth="1"/>
    <col min="9" max="9" width="12.84375" style="136" customWidth="1"/>
    <col min="10" max="10" width="12.765625" style="136" customWidth="1"/>
    <col min="11" max="11" width="5.765625" style="136" bestFit="1" customWidth="1"/>
    <col min="12" max="16384" width="9" style="136"/>
  </cols>
  <sheetData>
    <row r="1" spans="1:14" ht="20">
      <c r="A1" s="561" t="s">
        <v>635</v>
      </c>
      <c r="B1" s="562"/>
      <c r="C1" s="563"/>
      <c r="D1" s="564"/>
      <c r="E1" s="564"/>
      <c r="F1" s="564"/>
      <c r="G1" s="564"/>
      <c r="H1" s="564"/>
      <c r="I1" s="366"/>
      <c r="J1" s="366"/>
      <c r="K1" s="494"/>
    </row>
    <row r="2" spans="1:14" ht="20">
      <c r="A2" s="367" t="str">
        <f>Licensee</f>
        <v>SGN - Southern</v>
      </c>
      <c r="B2" s="565"/>
      <c r="C2" s="566"/>
      <c r="D2" s="567"/>
      <c r="E2" s="567"/>
      <c r="F2" s="567"/>
      <c r="G2" s="567"/>
      <c r="H2" s="567"/>
      <c r="I2" s="371"/>
      <c r="J2" s="371"/>
      <c r="K2" s="372"/>
    </row>
    <row r="3" spans="1:14" ht="20">
      <c r="A3" s="369">
        <f>Reporting_Year</f>
        <v>2024</v>
      </c>
      <c r="B3" s="370"/>
      <c r="C3" s="568"/>
      <c r="D3" s="569"/>
      <c r="E3" s="569"/>
      <c r="F3" s="569"/>
      <c r="G3" s="569"/>
      <c r="H3" s="569"/>
      <c r="I3" s="374"/>
      <c r="J3" s="374"/>
      <c r="K3" s="375"/>
    </row>
    <row r="4" spans="1:14" s="377" customFormat="1" ht="12.75" customHeight="1">
      <c r="B4" s="517"/>
      <c r="C4" s="29"/>
    </row>
    <row r="5" spans="1:14" s="377" customFormat="1" ht="21.65" customHeight="1">
      <c r="B5" s="517"/>
      <c r="C5" s="29"/>
      <c r="D5" s="376" t="str">
        <f t="shared" ref="D5:I5" si="0">IF(D6&lt;=Reporting_Year,"Actuals","Forecast")</f>
        <v>Actuals</v>
      </c>
      <c r="E5" s="376" t="str">
        <f t="shared" si="0"/>
        <v>Actuals</v>
      </c>
      <c r="F5" s="376" t="str">
        <f t="shared" si="0"/>
        <v>Actuals</v>
      </c>
      <c r="G5" s="376" t="str">
        <f t="shared" si="0"/>
        <v>Forecast</v>
      </c>
      <c r="H5" s="376" t="str">
        <f t="shared" si="0"/>
        <v>Forecast</v>
      </c>
      <c r="I5" s="376" t="str">
        <f t="shared" si="0"/>
        <v>Forecast</v>
      </c>
    </row>
    <row r="6" spans="1:14" s="377" customFormat="1" ht="29.25" customHeight="1">
      <c r="C6" s="29"/>
      <c r="D6" s="495">
        <f>'RFPR cover'!$C$6</f>
        <v>2022</v>
      </c>
      <c r="E6" s="496">
        <f>D6+1</f>
        <v>2023</v>
      </c>
      <c r="F6" s="496">
        <f t="shared" ref="F6:H6" si="1">E6+1</f>
        <v>2024</v>
      </c>
      <c r="G6" s="496">
        <f t="shared" si="1"/>
        <v>2025</v>
      </c>
      <c r="H6" s="496">
        <f t="shared" si="1"/>
        <v>2026</v>
      </c>
      <c r="I6" s="380" t="str">
        <f>"Cumulative to "&amp;'RFPR cover'!$C$9</f>
        <v>Cumulative to 2024</v>
      </c>
      <c r="J6" s="497" t="s">
        <v>481</v>
      </c>
    </row>
    <row r="7" spans="1:14" s="377" customFormat="1">
      <c r="C7" s="29"/>
      <c r="D7" s="381" t="str">
        <f>RIIO_2_start_date-1&amp;"/"&amp;RIGHT(RIIO_2_start_date,2)</f>
        <v>2021/22</v>
      </c>
      <c r="E7" s="381" t="str">
        <f>RIIO_2_start_date&amp;"/"&amp;RIGHT(RIIO_2_start_date+1,2)</f>
        <v>2022/23</v>
      </c>
      <c r="F7" s="381" t="str">
        <f>RIIO_2_start_date+1&amp;"/"&amp;RIGHT(RIIO_2_start_date+2,2)</f>
        <v>2023/24</v>
      </c>
      <c r="G7" s="381" t="str">
        <f>RIIO_2_start_date+2&amp;"/"&amp;RIGHT(RIIO_2_start_date+3,2)</f>
        <v>2024/25</v>
      </c>
      <c r="H7" s="381" t="str">
        <f>RIIO_2_start_date+3&amp;"/"&amp;RIGHT(RIIO_2_start_date+4,2)</f>
        <v>2025/26</v>
      </c>
    </row>
    <row r="8" spans="1:14" s="377" customFormat="1" ht="17.5">
      <c r="B8" s="570" t="s">
        <v>636</v>
      </c>
      <c r="C8" s="430"/>
      <c r="D8" s="431"/>
      <c r="E8" s="431"/>
      <c r="F8" s="431"/>
      <c r="G8" s="431"/>
      <c r="H8" s="431"/>
      <c r="I8" s="431"/>
      <c r="J8" s="431"/>
      <c r="K8" s="431"/>
    </row>
    <row r="9" spans="1:14" s="377" customFormat="1">
      <c r="N9" s="398"/>
    </row>
    <row r="10" spans="1:14" s="377" customFormat="1"/>
    <row r="11" spans="1:14" s="377" customFormat="1"/>
    <row r="12" spans="1:14" s="377" customFormat="1">
      <c r="A12" s="383" t="s">
        <v>485</v>
      </c>
      <c r="B12" s="519" t="s">
        <v>637</v>
      </c>
      <c r="C12" s="506" t="str">
        <f>Data!$C$9</f>
        <v>£m 18/19</v>
      </c>
      <c r="D12" s="1251">
        <f>INDEX(Data!$C$98:$I$126,MATCH($A$2,Data!$B$98:$B$126,0),MATCH(D$6,Data!$C$97:$I$97))</f>
        <v>0</v>
      </c>
      <c r="E12" s="1251">
        <f>INDEX(Data!$C$98:$I$126,MATCH($A$2,Data!$B$98:$B$126,0),MATCH(E$6,Data!$C$97:$I$97))</f>
        <v>0</v>
      </c>
      <c r="F12" s="1251">
        <f>INDEX(Data!$C$98:$I$126,MATCH($A$2,Data!$B$98:$B$126,0),MATCH(F$6,Data!$C$97:$I$97))</f>
        <v>0</v>
      </c>
      <c r="G12" s="1251">
        <f>INDEX(Data!$C$98:$I$126,MATCH($A$2,Data!$B$98:$B$126,0),MATCH(G$6,Data!$C$97:$I$97))</f>
        <v>0</v>
      </c>
      <c r="H12" s="1251">
        <f>INDEX(Data!$C$98:$I$126,MATCH($A$2,Data!$B$98:$B$126,0),MATCH(H$6,Data!$C$97:$I$97))</f>
        <v>0</v>
      </c>
      <c r="I12" s="1251">
        <f>SUM(D12:INDEX(D12:H12,0,MATCH('RFPR cover'!$C$9,$D$6:$H$6,0)))</f>
        <v>0</v>
      </c>
      <c r="J12" s="1252">
        <f>SUM(D12:H12)</f>
        <v>0</v>
      </c>
    </row>
    <row r="13" spans="1:14" s="377" customFormat="1" ht="19.5" customHeight="1">
      <c r="A13" s="383"/>
      <c r="B13" s="571" t="s">
        <v>638</v>
      </c>
    </row>
    <row r="14" spans="1:14" s="377" customFormat="1">
      <c r="A14" s="383" t="s">
        <v>486</v>
      </c>
      <c r="B14" s="572" t="str">
        <f>Data!B132</f>
        <v>Customer Satisfaction Survey ODI - (SpC 4.2)</v>
      </c>
      <c r="C14" s="506" t="str">
        <f>Data!$C$9</f>
        <v>£m 18/19</v>
      </c>
      <c r="D14" s="573">
        <v>0.93256499999999998</v>
      </c>
      <c r="E14" s="573">
        <v>0.58487199999999995</v>
      </c>
      <c r="F14" s="573">
        <v>2.2365720303680896</v>
      </c>
      <c r="G14" s="573"/>
      <c r="H14" s="573"/>
      <c r="I14" s="535">
        <f>SUM(D14:INDEX(D14:H14,0,MATCH('RFPR cover'!$C$9,$D$6:$H$6,0)))</f>
        <v>3.7540090303680893</v>
      </c>
      <c r="J14" s="536">
        <f t="shared" ref="J14:J22" si="2">SUM(D14:H14)</f>
        <v>3.7540090303680893</v>
      </c>
    </row>
    <row r="15" spans="1:14" s="377" customFormat="1">
      <c r="A15" s="383" t="s">
        <v>487</v>
      </c>
      <c r="B15" s="572" t="str">
        <f>Data!B133</f>
        <v>Complaints metric ODI - (SpC 4.3)</v>
      </c>
      <c r="C15" s="506" t="str">
        <f>Data!$C$9</f>
        <v>£m 18/19</v>
      </c>
      <c r="D15" s="573">
        <v>0</v>
      </c>
      <c r="E15" s="573">
        <v>0</v>
      </c>
      <c r="F15" s="573"/>
      <c r="G15" s="573"/>
      <c r="H15" s="573"/>
      <c r="I15" s="535">
        <f>SUM(D15:INDEX(D15:H15,0,MATCH('RFPR cover'!$C$9,$D$6:$H$6,0)))</f>
        <v>0</v>
      </c>
      <c r="J15" s="536">
        <f t="shared" si="2"/>
        <v>0</v>
      </c>
    </row>
    <row r="16" spans="1:14" s="377" customFormat="1">
      <c r="A16" s="383" t="s">
        <v>488</v>
      </c>
      <c r="B16" s="572" t="str">
        <f>Data!B134</f>
        <v>Unplanned Interruption Mean Duration ODI [NGN, SGN and WWU] - (SpC 4.5)</v>
      </c>
      <c r="C16" s="506" t="str">
        <f>Data!$C$9</f>
        <v>£m 18/19</v>
      </c>
      <c r="D16" s="573">
        <v>0</v>
      </c>
      <c r="E16" s="573">
        <v>0</v>
      </c>
      <c r="F16" s="573">
        <v>-3.0550000000000002</v>
      </c>
      <c r="G16" s="573"/>
      <c r="H16" s="573"/>
      <c r="I16" s="535">
        <f>SUM(D16:INDEX(D16:H16,0,MATCH('RFPR cover'!$C$9,$D$6:$H$6,0)))</f>
        <v>-3.0550000000000002</v>
      </c>
      <c r="J16" s="536">
        <f t="shared" si="2"/>
        <v>-3.0550000000000002</v>
      </c>
    </row>
    <row r="17" spans="1:10" s="377" customFormat="1">
      <c r="A17" s="383" t="s">
        <v>489</v>
      </c>
      <c r="B17" s="572" t="str">
        <f>Data!B135</f>
        <v>Unplanned Interruption Mean Duration ODI [Cadent only]- (SpC 4.6)</v>
      </c>
      <c r="C17" s="506" t="str">
        <f>Data!$C$9</f>
        <v>£m 18/19</v>
      </c>
      <c r="D17" s="573">
        <v>0</v>
      </c>
      <c r="E17" s="573">
        <v>0</v>
      </c>
      <c r="F17" s="573"/>
      <c r="G17" s="573"/>
      <c r="H17" s="573"/>
      <c r="I17" s="535">
        <f>SUM(D17:INDEX(D17:H17,0,MATCH('RFPR cover'!$C$9,$D$6:$H$6,0)))</f>
        <v>0</v>
      </c>
      <c r="J17" s="536">
        <f t="shared" si="2"/>
        <v>0</v>
      </c>
    </row>
    <row r="18" spans="1:10" s="377" customFormat="1">
      <c r="A18" s="383" t="s">
        <v>490</v>
      </c>
      <c r="B18" s="572" t="str">
        <f>Data!B136</f>
        <v>Shrinkage Management ODI- (SpC 4.4)</v>
      </c>
      <c r="C18" s="506" t="str">
        <f>Data!$C$9</f>
        <v>£m 18/19</v>
      </c>
      <c r="D18" s="573">
        <v>0.28713899999999998</v>
      </c>
      <c r="E18" s="573">
        <v>0.207394</v>
      </c>
      <c r="F18" s="573">
        <v>0.32168651228451878</v>
      </c>
      <c r="G18" s="573"/>
      <c r="H18" s="573"/>
      <c r="I18" s="535">
        <f>SUM(D18:INDEX(D18:H18,0,MATCH('RFPR cover'!$C$9,$D$6:$H$6,0)))</f>
        <v>0.81621951228451883</v>
      </c>
      <c r="J18" s="536">
        <f t="shared" si="2"/>
        <v>0.81621951228451883</v>
      </c>
    </row>
    <row r="19" spans="1:10" s="377" customFormat="1">
      <c r="A19" s="383" t="s">
        <v>491</v>
      </c>
      <c r="B19" s="572" t="str">
        <f>Data!B137</f>
        <v>Collaborative streetworks ODI [Cadent Lon &amp; EoE, SGN So only]- (SpC 4.7)</v>
      </c>
      <c r="C19" s="506" t="str">
        <f>Data!$C$9</f>
        <v>£m 18/19</v>
      </c>
      <c r="D19" s="573">
        <v>0.91500000000000004</v>
      </c>
      <c r="E19" s="573">
        <v>1.5249999999999999</v>
      </c>
      <c r="F19" s="573">
        <v>1.22</v>
      </c>
      <c r="G19" s="573"/>
      <c r="H19" s="573"/>
      <c r="I19" s="535">
        <f>SUM(D19:INDEX(D19:H19,0,MATCH('RFPR cover'!$C$9,$D$6:$H$6,0)))</f>
        <v>3.66</v>
      </c>
      <c r="J19" s="536">
        <f>SUM(D19:H19)</f>
        <v>3.66</v>
      </c>
    </row>
    <row r="20" spans="1:10" s="377" customFormat="1">
      <c r="A20" s="383" t="s">
        <v>639</v>
      </c>
      <c r="B20" s="572" t="str">
        <f>Data!B138</f>
        <v/>
      </c>
      <c r="C20" s="506" t="str">
        <f>Data!$C$9</f>
        <v>£m 18/19</v>
      </c>
      <c r="D20" s="573"/>
      <c r="E20" s="573"/>
      <c r="F20" s="573"/>
      <c r="G20" s="573"/>
      <c r="H20" s="573"/>
      <c r="I20" s="535">
        <f>SUM(D20:INDEX(D20:H20,0,MATCH('RFPR cover'!$C$9,$D$6:$H$6,0)))</f>
        <v>0</v>
      </c>
      <c r="J20" s="536">
        <f>SUM(D20:H20)</f>
        <v>0</v>
      </c>
    </row>
    <row r="21" spans="1:10" s="377" customFormat="1">
      <c r="A21" s="383" t="s">
        <v>492</v>
      </c>
      <c r="B21" s="572" t="str">
        <f>Data!B139</f>
        <v/>
      </c>
      <c r="C21" s="506" t="str">
        <f>Data!$C$9</f>
        <v>£m 18/19</v>
      </c>
      <c r="D21" s="573"/>
      <c r="E21" s="573"/>
      <c r="F21" s="573"/>
      <c r="G21" s="573"/>
      <c r="H21" s="573"/>
      <c r="I21" s="535">
        <f>SUM(D21:INDEX(D21:H21,0,MATCH('RFPR cover'!$C$9,$D$6:$H$6,0)))</f>
        <v>0</v>
      </c>
      <c r="J21" s="536">
        <f t="shared" si="2"/>
        <v>0</v>
      </c>
    </row>
    <row r="22" spans="1:10" s="377" customFormat="1">
      <c r="B22" s="519" t="s">
        <v>640</v>
      </c>
      <c r="C22" s="513" t="str">
        <f>Data!$C$9</f>
        <v>£m 18/19</v>
      </c>
      <c r="D22" s="547">
        <f>SUM(D14:D21)</f>
        <v>2.1347040000000002</v>
      </c>
      <c r="E22" s="547">
        <f>SUM(E14:E21)</f>
        <v>2.317266</v>
      </c>
      <c r="F22" s="547">
        <f>SUM(F14:F21)</f>
        <v>0.72325854265260814</v>
      </c>
      <c r="G22" s="547">
        <f>SUM(G14:G21)</f>
        <v>0</v>
      </c>
      <c r="H22" s="547">
        <f>SUM(H14:H21)</f>
        <v>0</v>
      </c>
      <c r="I22" s="535">
        <f>SUM(D22:INDEX(D22:H22,0,MATCH('RFPR cover'!$C$9,$D$6:$H$6,0)))</f>
        <v>5.1752285426526079</v>
      </c>
      <c r="J22" s="536">
        <f t="shared" si="2"/>
        <v>5.1752285426526079</v>
      </c>
    </row>
    <row r="23" spans="1:10" s="377" customFormat="1"/>
    <row r="24" spans="1:10" s="575" customFormat="1" ht="14.25" customHeight="1">
      <c r="A24" s="574"/>
    </row>
    <row r="25" spans="1:10" s="377" customFormat="1">
      <c r="A25" s="576"/>
      <c r="B25" s="577" t="s">
        <v>641</v>
      </c>
      <c r="C25" s="578"/>
      <c r="D25" s="578"/>
      <c r="E25" s="578"/>
      <c r="F25" s="578"/>
      <c r="G25" s="578"/>
      <c r="H25" s="578"/>
      <c r="I25" s="578"/>
      <c r="J25" s="578"/>
    </row>
    <row r="26" spans="1:10" s="377" customFormat="1">
      <c r="A26" s="579" t="s">
        <v>485</v>
      </c>
      <c r="B26" s="1427"/>
      <c r="C26" s="1427"/>
      <c r="D26" s="1427"/>
      <c r="E26" s="1427"/>
      <c r="F26" s="1427"/>
      <c r="G26" s="1427"/>
      <c r="H26" s="1427"/>
      <c r="I26" s="1427"/>
      <c r="J26" s="1427"/>
    </row>
    <row r="27" spans="1:10" s="377" customFormat="1">
      <c r="A27" s="579" t="s">
        <v>486</v>
      </c>
      <c r="B27" s="1427"/>
      <c r="C27" s="1427"/>
      <c r="D27" s="1427"/>
      <c r="E27" s="1427"/>
      <c r="F27" s="1427"/>
      <c r="G27" s="1427"/>
      <c r="H27" s="1427"/>
      <c r="I27" s="1427"/>
      <c r="J27" s="1427"/>
    </row>
    <row r="28" spans="1:10" s="377" customFormat="1">
      <c r="A28" s="579" t="s">
        <v>487</v>
      </c>
      <c r="B28" s="1427"/>
      <c r="C28" s="1427"/>
      <c r="D28" s="1427"/>
      <c r="E28" s="1427"/>
      <c r="F28" s="1427"/>
      <c r="G28" s="1427"/>
      <c r="H28" s="1427"/>
      <c r="I28" s="1427"/>
      <c r="J28" s="1427"/>
    </row>
    <row r="29" spans="1:10" s="377" customFormat="1">
      <c r="A29" s="579" t="s">
        <v>488</v>
      </c>
      <c r="B29" s="1427"/>
      <c r="C29" s="1427"/>
      <c r="D29" s="1427"/>
      <c r="E29" s="1427"/>
      <c r="F29" s="1427"/>
      <c r="G29" s="1427"/>
      <c r="H29" s="1427"/>
      <c r="I29" s="1427"/>
      <c r="J29" s="1427"/>
    </row>
    <row r="30" spans="1:10" s="377" customFormat="1">
      <c r="A30" s="579" t="s">
        <v>489</v>
      </c>
      <c r="B30" s="1427"/>
      <c r="C30" s="1427"/>
      <c r="D30" s="1427"/>
      <c r="E30" s="1427"/>
      <c r="F30" s="1427"/>
      <c r="G30" s="1427"/>
      <c r="H30" s="1427"/>
      <c r="I30" s="1427"/>
      <c r="J30" s="1427"/>
    </row>
    <row r="31" spans="1:10" s="377" customFormat="1">
      <c r="A31" s="579" t="s">
        <v>490</v>
      </c>
      <c r="B31" s="1427"/>
      <c r="C31" s="1427"/>
      <c r="D31" s="1427"/>
      <c r="E31" s="1427"/>
      <c r="F31" s="1427"/>
      <c r="G31" s="1427"/>
      <c r="H31" s="1427"/>
      <c r="I31" s="1427"/>
      <c r="J31" s="1427"/>
    </row>
    <row r="32" spans="1:10" s="377" customFormat="1">
      <c r="A32" s="579" t="s">
        <v>491</v>
      </c>
      <c r="B32" s="440"/>
      <c r="C32" s="440"/>
      <c r="D32" s="440"/>
      <c r="E32" s="440"/>
      <c r="F32" s="440"/>
      <c r="G32" s="440"/>
      <c r="H32" s="440"/>
      <c r="I32" s="440"/>
      <c r="J32" s="440"/>
    </row>
    <row r="33" spans="1:11" s="377" customFormat="1">
      <c r="A33" s="579" t="s">
        <v>639</v>
      </c>
      <c r="B33" s="440"/>
      <c r="C33" s="440"/>
      <c r="D33" s="440"/>
      <c r="E33" s="440"/>
      <c r="F33" s="440"/>
      <c r="G33" s="440"/>
      <c r="H33" s="440"/>
      <c r="I33" s="440"/>
      <c r="J33" s="440"/>
    </row>
    <row r="34" spans="1:11" s="377" customFormat="1">
      <c r="A34" s="579" t="s">
        <v>492</v>
      </c>
      <c r="B34" s="1427"/>
      <c r="C34" s="1427"/>
      <c r="D34" s="1427"/>
      <c r="E34" s="1427"/>
      <c r="F34" s="1427"/>
      <c r="G34" s="1427"/>
      <c r="H34" s="1427"/>
      <c r="I34" s="1427"/>
      <c r="J34" s="1427"/>
    </row>
    <row r="35" spans="1:11" s="377" customFormat="1">
      <c r="A35" s="383"/>
      <c r="C35" s="506"/>
      <c r="D35" s="506"/>
      <c r="E35" s="506"/>
      <c r="F35" s="506"/>
      <c r="G35" s="506"/>
      <c r="H35" s="506"/>
      <c r="I35" s="506"/>
      <c r="J35" s="506"/>
    </row>
    <row r="36" spans="1:11" s="377" customFormat="1" ht="20.5">
      <c r="B36" s="570" t="s">
        <v>642</v>
      </c>
      <c r="C36" s="430"/>
      <c r="D36" s="431"/>
      <c r="E36" s="431"/>
      <c r="F36" s="431"/>
      <c r="G36" s="431"/>
      <c r="H36" s="431"/>
      <c r="I36" s="431"/>
      <c r="J36" s="431"/>
      <c r="K36" s="431"/>
    </row>
    <row r="37" spans="1:11" s="377" customFormat="1">
      <c r="A37" s="519"/>
      <c r="C37" s="29"/>
    </row>
    <row r="38" spans="1:11">
      <c r="B38" s="580" t="s">
        <v>643</v>
      </c>
    </row>
    <row r="39" spans="1:11">
      <c r="B39" s="519"/>
    </row>
    <row r="40" spans="1:11" s="377" customFormat="1">
      <c r="A40" s="505" t="s">
        <v>492</v>
      </c>
      <c r="B40" s="519" t="s">
        <v>122</v>
      </c>
      <c r="C40" s="40" t="s">
        <v>644</v>
      </c>
      <c r="D40" s="530"/>
      <c r="E40" s="530"/>
      <c r="F40" s="530"/>
      <c r="G40" s="530"/>
      <c r="H40" s="530"/>
    </row>
    <row r="41" spans="1:11" s="377" customFormat="1">
      <c r="B41" s="427" t="s">
        <v>645</v>
      </c>
      <c r="C41" s="506" t="str">
        <f>Data!$C$9</f>
        <v>£m 18/19</v>
      </c>
      <c r="D41" s="1341">
        <v>1.567086</v>
      </c>
      <c r="E41" s="1341">
        <v>2.1369829999999999</v>
      </c>
      <c r="F41" s="1341">
        <v>2.8337171483012482</v>
      </c>
      <c r="G41" s="1341"/>
      <c r="H41" s="1341"/>
      <c r="I41" s="535">
        <f>SUM(D41:INDEX(D41:H41,0,MATCH('RFPR cover'!$C$9,$D$6:$H$6,0)))</f>
        <v>6.5377861483012474</v>
      </c>
      <c r="J41" s="536">
        <f t="shared" ref="J41" si="3">SUM(D41:H41)</f>
        <v>6.5377861483012474</v>
      </c>
      <c r="K41" s="377" t="s">
        <v>646</v>
      </c>
    </row>
    <row r="42" spans="1:11" s="377" customFormat="1">
      <c r="B42" s="427" t="s">
        <v>647</v>
      </c>
      <c r="C42" s="506" t="str">
        <f>Data!$C$9</f>
        <v>£m 18/19</v>
      </c>
      <c r="D42" s="1342"/>
      <c r="E42" s="1329"/>
      <c r="F42" s="1329"/>
      <c r="G42" s="1329"/>
      <c r="H42" s="1329"/>
      <c r="I42" s="535">
        <f>SUM(D42:INDEX(D42:H42,0,MATCH('RFPR cover'!$C$9,$D$6:$H$6,0)))</f>
        <v>0</v>
      </c>
      <c r="J42" s="536">
        <f t="shared" ref="J42:J45" si="4">SUM(D42:H42)</f>
        <v>0</v>
      </c>
    </row>
    <row r="43" spans="1:11" s="377" customFormat="1">
      <c r="B43" s="427" t="s">
        <v>648</v>
      </c>
      <c r="C43" s="506" t="str">
        <f>Data!$C$9</f>
        <v>£m 18/19</v>
      </c>
      <c r="D43" s="1332">
        <v>0.15670899999999999</v>
      </c>
      <c r="E43" s="1332">
        <v>0.213698</v>
      </c>
      <c r="F43" s="1332">
        <v>0.28337171483012469</v>
      </c>
      <c r="G43" s="1332"/>
      <c r="H43" s="1332"/>
      <c r="I43" s="535">
        <f>SUM(D43:INDEX(D43:H43,0,MATCH('RFPR cover'!$C$9,$D$6:$H$6,0)))</f>
        <v>0.65377871483012462</v>
      </c>
      <c r="J43" s="536">
        <f t="shared" si="4"/>
        <v>0.65377871483012462</v>
      </c>
    </row>
    <row r="44" spans="1:11" s="519" customFormat="1">
      <c r="B44" s="377" t="s">
        <v>649</v>
      </c>
      <c r="C44" s="506" t="str">
        <f>Data!$C$9</f>
        <v>£m 18/19</v>
      </c>
      <c r="D44" s="547">
        <f>D41-D42-D43</f>
        <v>1.410377</v>
      </c>
      <c r="E44" s="588">
        <f t="shared" ref="E44:H44" si="5">E41-E42-E43</f>
        <v>1.9232849999999999</v>
      </c>
      <c r="F44" s="588">
        <f t="shared" si="5"/>
        <v>2.5503454334711235</v>
      </c>
      <c r="G44" s="588">
        <f t="shared" si="5"/>
        <v>0</v>
      </c>
      <c r="H44" s="588">
        <f t="shared" si="5"/>
        <v>0</v>
      </c>
      <c r="I44" s="535">
        <f>SUM(D44:INDEX(D44:H44,0,MATCH('RFPR cover'!$C$9,$D$6:$H$6,0)))</f>
        <v>5.8840074334711234</v>
      </c>
      <c r="J44" s="536">
        <f t="shared" si="4"/>
        <v>5.8840074334711234</v>
      </c>
      <c r="K44" s="377"/>
    </row>
    <row r="45" spans="1:11" s="377" customFormat="1">
      <c r="A45" s="517"/>
      <c r="B45" s="519" t="s">
        <v>650</v>
      </c>
      <c r="C45" s="506" t="str">
        <f>Data!$C$9</f>
        <v>£m 18/19</v>
      </c>
      <c r="D45" s="589">
        <f>D42+D43</f>
        <v>0.15670899999999999</v>
      </c>
      <c r="E45" s="589">
        <f t="shared" ref="E45:H45" si="6">E42+E43</f>
        <v>0.213698</v>
      </c>
      <c r="F45" s="589">
        <f t="shared" si="6"/>
        <v>0.28337171483012469</v>
      </c>
      <c r="G45" s="589">
        <f t="shared" si="6"/>
        <v>0</v>
      </c>
      <c r="H45" s="589">
        <f t="shared" si="6"/>
        <v>0</v>
      </c>
      <c r="I45" s="535">
        <f>SUM(D45:INDEX(D45:H45,0,MATCH('RFPR cover'!$C$9,$D$6:$H$6,0)))</f>
        <v>0.65377871483012462</v>
      </c>
      <c r="J45" s="536">
        <f t="shared" si="4"/>
        <v>0.65377871483012462</v>
      </c>
    </row>
    <row r="46" spans="1:11" s="377" customFormat="1">
      <c r="A46" s="517"/>
      <c r="B46" s="519"/>
      <c r="C46" s="506"/>
      <c r="D46" s="581"/>
      <c r="E46" s="581"/>
      <c r="F46" s="581"/>
      <c r="G46" s="581"/>
      <c r="H46" s="581"/>
    </row>
    <row r="47" spans="1:11" s="377" customFormat="1">
      <c r="A47" s="505" t="s">
        <v>493</v>
      </c>
      <c r="B47" s="519" t="s">
        <v>651</v>
      </c>
      <c r="C47" s="506" t="s">
        <v>652</v>
      </c>
      <c r="D47" s="581"/>
      <c r="E47" s="581"/>
      <c r="F47" s="581"/>
      <c r="G47" s="581"/>
      <c r="H47" s="581"/>
    </row>
    <row r="48" spans="1:11" s="377" customFormat="1" ht="14">
      <c r="A48" s="517"/>
      <c r="B48" s="427" t="s">
        <v>653</v>
      </c>
      <c r="C48" s="506" t="str">
        <f>Data!$C$9</f>
        <v>£m 18/19</v>
      </c>
      <c r="D48" s="1341">
        <v>0.49444100000000002</v>
      </c>
      <c r="E48" s="582"/>
      <c r="F48" s="582"/>
      <c r="G48" s="582"/>
      <c r="H48" s="582"/>
      <c r="K48" s="377" t="s">
        <v>646</v>
      </c>
    </row>
    <row r="49" spans="1:11" s="377" customFormat="1" ht="14">
      <c r="A49" s="517"/>
      <c r="B49" s="427" t="s">
        <v>647</v>
      </c>
      <c r="C49" s="506" t="str">
        <f>Data!$C$9</f>
        <v>£m 18/19</v>
      </c>
      <c r="D49" s="1342"/>
      <c r="E49" s="582"/>
      <c r="F49" s="582"/>
      <c r="G49" s="582"/>
      <c r="H49" s="582"/>
    </row>
    <row r="50" spans="1:11" s="377" customFormat="1" ht="14">
      <c r="A50" s="517"/>
      <c r="B50" s="427" t="s">
        <v>648</v>
      </c>
      <c r="C50" s="506" t="str">
        <f>Data!$C$9</f>
        <v>£m 18/19</v>
      </c>
      <c r="D50" s="1332">
        <v>1.0437999999999999E-2</v>
      </c>
      <c r="E50" s="582"/>
      <c r="F50" s="582"/>
      <c r="G50" s="582"/>
      <c r="H50" s="582"/>
    </row>
    <row r="51" spans="1:11" s="377" customFormat="1" ht="14">
      <c r="A51" s="517"/>
      <c r="B51" s="377" t="s">
        <v>654</v>
      </c>
      <c r="C51" s="506" t="str">
        <f>Data!$C$9</f>
        <v>£m 18/19</v>
      </c>
      <c r="D51" s="547">
        <f>D48-D49-D50</f>
        <v>0.48400300000000002</v>
      </c>
      <c r="E51" s="582"/>
      <c r="F51" s="582"/>
      <c r="G51" s="582"/>
      <c r="H51" s="582"/>
    </row>
    <row r="52" spans="1:11" ht="14">
      <c r="A52" s="583"/>
      <c r="B52" s="519" t="s">
        <v>655</v>
      </c>
      <c r="C52" s="506" t="str">
        <f>Data!$C$9</f>
        <v>£m 18/19</v>
      </c>
      <c r="D52" s="588">
        <f>D49+D50</f>
        <v>1.0437999999999999E-2</v>
      </c>
      <c r="E52" s="582"/>
      <c r="F52" s="582"/>
      <c r="G52" s="582"/>
      <c r="H52" s="582"/>
      <c r="K52" s="377"/>
    </row>
    <row r="53" spans="1:11">
      <c r="B53" s="519"/>
      <c r="C53" s="506"/>
      <c r="D53" s="506"/>
      <c r="E53" s="506"/>
      <c r="F53" s="506"/>
      <c r="G53" s="506"/>
      <c r="H53" s="506"/>
      <c r="K53" s="506"/>
    </row>
    <row r="54" spans="1:11">
      <c r="A54" s="505" t="s">
        <v>494</v>
      </c>
      <c r="B54" s="519" t="s">
        <v>656</v>
      </c>
      <c r="C54" s="506" t="s">
        <v>657</v>
      </c>
      <c r="D54" s="581"/>
      <c r="E54" s="581"/>
      <c r="F54" s="581"/>
      <c r="G54" s="581"/>
      <c r="H54" s="581"/>
      <c r="K54" s="377"/>
    </row>
    <row r="55" spans="1:11">
      <c r="A55" s="517"/>
      <c r="B55" s="427" t="s">
        <v>658</v>
      </c>
      <c r="C55" s="506" t="str">
        <f>Data!$C$9</f>
        <v>£m 18/19</v>
      </c>
      <c r="D55" s="1341">
        <v>0.27122099999999999</v>
      </c>
      <c r="E55" s="1341">
        <v>1.7674369999999999</v>
      </c>
      <c r="F55" s="1341">
        <v>2.662105481218731</v>
      </c>
      <c r="G55" s="1341"/>
      <c r="H55" s="1341"/>
      <c r="I55" s="535">
        <f>SUM(D55:INDEX(D55:H55,0,MATCH('RFPR cover'!$C$9,$D$6:$H$6,0)))</f>
        <v>4.7007634812187309</v>
      </c>
      <c r="J55" s="536">
        <f t="shared" ref="J55" si="7">SUM(D55:H55)</f>
        <v>4.7007634812187309</v>
      </c>
      <c r="K55" s="377" t="s">
        <v>646</v>
      </c>
    </row>
    <row r="56" spans="1:11">
      <c r="A56" s="517"/>
      <c r="B56" s="427" t="s">
        <v>659</v>
      </c>
      <c r="C56" s="506" t="str">
        <f>Data!$C$9</f>
        <v>£m 18/19</v>
      </c>
      <c r="D56" s="1342"/>
      <c r="E56" s="1329"/>
      <c r="F56" s="1329"/>
      <c r="G56" s="1329"/>
      <c r="H56" s="1329"/>
      <c r="I56" s="535">
        <f>SUM(D56:INDEX(D56:H56,0,MATCH('RFPR cover'!$C$9,$D$6:$H$6,0)))</f>
        <v>0</v>
      </c>
      <c r="J56" s="536">
        <f t="shared" ref="J56:J59" si="8">SUM(D56:H56)</f>
        <v>0</v>
      </c>
    </row>
    <row r="57" spans="1:11">
      <c r="A57" s="517"/>
      <c r="B57" s="427" t="s">
        <v>648</v>
      </c>
      <c r="C57" s="506" t="str">
        <f>Data!$C$9</f>
        <v>£m 18/19</v>
      </c>
      <c r="D57" s="439"/>
      <c r="E57" s="439"/>
      <c r="F57" s="439"/>
      <c r="G57" s="439"/>
      <c r="H57" s="439"/>
      <c r="I57" s="535">
        <f>SUM(D57:INDEX(D57:H57,0,MATCH('RFPR cover'!$C$9,$D$6:$H$6,0)))</f>
        <v>0</v>
      </c>
      <c r="J57" s="536">
        <f t="shared" si="8"/>
        <v>0</v>
      </c>
    </row>
    <row r="58" spans="1:11">
      <c r="A58" s="517"/>
      <c r="B58" s="377" t="s">
        <v>660</v>
      </c>
      <c r="C58" s="506" t="str">
        <f>Data!$C$9</f>
        <v>£m 18/19</v>
      </c>
      <c r="D58" s="547">
        <f>D55-D56-D57</f>
        <v>0.27122099999999999</v>
      </c>
      <c r="E58" s="588">
        <f>E55-E56-E57</f>
        <v>1.7674369999999999</v>
      </c>
      <c r="F58" s="588">
        <f>F55-F56-F57</f>
        <v>2.662105481218731</v>
      </c>
      <c r="G58" s="588">
        <f>G55-G56-G57</f>
        <v>0</v>
      </c>
      <c r="H58" s="588">
        <f>H55-H56-H57</f>
        <v>0</v>
      </c>
      <c r="I58" s="535">
        <f>SUM(D58:INDEX(D58:H58,0,MATCH('RFPR cover'!$C$9,$D$6:$H$6,0)))</f>
        <v>4.7007634812187309</v>
      </c>
      <c r="J58" s="536">
        <f t="shared" si="8"/>
        <v>4.7007634812187309</v>
      </c>
    </row>
    <row r="59" spans="1:11">
      <c r="A59" s="583"/>
      <c r="B59" s="519" t="s">
        <v>661</v>
      </c>
      <c r="C59" s="506" t="str">
        <f>Data!$C$9</f>
        <v>£m 18/19</v>
      </c>
      <c r="D59" s="588">
        <f>D56+D57</f>
        <v>0</v>
      </c>
      <c r="E59" s="588">
        <f>E56+E57</f>
        <v>0</v>
      </c>
      <c r="F59" s="588">
        <f>F56+F57</f>
        <v>0</v>
      </c>
      <c r="G59" s="588">
        <f>G56+G57</f>
        <v>0</v>
      </c>
      <c r="H59" s="588">
        <f>H56+H57</f>
        <v>0</v>
      </c>
      <c r="I59" s="535">
        <f>SUM(D59:INDEX(D59:H59,0,MATCH('RFPR cover'!$C$9,$D$6:$H$6,0)))</f>
        <v>0</v>
      </c>
      <c r="J59" s="536">
        <f t="shared" si="8"/>
        <v>0</v>
      </c>
    </row>
    <row r="60" spans="1:11">
      <c r="B60" s="519"/>
      <c r="C60" s="506"/>
      <c r="D60" s="506"/>
      <c r="E60" s="506"/>
      <c r="F60" s="506"/>
      <c r="G60" s="506"/>
      <c r="H60" s="506"/>
      <c r="I60" s="506"/>
    </row>
    <row r="61" spans="1:11">
      <c r="B61" s="519"/>
      <c r="C61" s="506"/>
      <c r="D61" s="506"/>
      <c r="E61" s="506"/>
      <c r="F61" s="506"/>
      <c r="G61" s="506"/>
      <c r="H61" s="506"/>
      <c r="I61" s="506"/>
    </row>
    <row r="62" spans="1:11" s="377" customFormat="1">
      <c r="B62" s="580" t="s">
        <v>662</v>
      </c>
      <c r="C62" s="29"/>
    </row>
    <row r="63" spans="1:11" s="377" customFormat="1" ht="16">
      <c r="B63" s="584" t="s">
        <v>663</v>
      </c>
      <c r="C63" s="585"/>
      <c r="D63" s="584"/>
      <c r="E63" s="584"/>
      <c r="F63" s="584"/>
      <c r="G63" s="584"/>
      <c r="H63" s="584"/>
      <c r="I63" s="584"/>
      <c r="J63" s="584"/>
      <c r="K63" s="584"/>
    </row>
    <row r="64" spans="1:11" s="377" customFormat="1">
      <c r="B64" s="586" t="s">
        <v>664</v>
      </c>
      <c r="C64" s="29"/>
    </row>
    <row r="65" spans="1:13" s="377" customFormat="1" ht="19" customHeight="1">
      <c r="A65" s="383"/>
      <c r="B65" s="571" t="s">
        <v>665</v>
      </c>
    </row>
    <row r="66" spans="1:13" s="377" customFormat="1" ht="14.5" customHeight="1">
      <c r="A66" s="383" t="s">
        <v>495</v>
      </c>
      <c r="B66" s="587" t="str">
        <f>Data!B199</f>
        <v/>
      </c>
      <c r="C66" s="506" t="str">
        <f>Data!$C$9</f>
        <v>£m 18/19</v>
      </c>
      <c r="D66" s="573"/>
      <c r="E66" s="573">
        <v>-1.1970730000000001</v>
      </c>
      <c r="F66" s="573"/>
      <c r="G66" s="573"/>
      <c r="H66" s="573"/>
      <c r="I66" s="535">
        <f>SUM(D66:INDEX(D66:H66,0,MATCH('RFPR cover'!$C$9,$D$6:$H$6,0)))</f>
        <v>-1.1970730000000001</v>
      </c>
      <c r="J66" s="536">
        <f t="shared" ref="J66" si="9">SUM(D66:H66)</f>
        <v>-1.1970730000000001</v>
      </c>
    </row>
    <row r="67" spans="1:13" s="377" customFormat="1" ht="14.5" customHeight="1">
      <c r="A67" s="383" t="s">
        <v>496</v>
      </c>
      <c r="B67" s="587" t="str">
        <f>Data!B200</f>
        <v/>
      </c>
      <c r="C67" s="506" t="str">
        <f>Data!$C$9</f>
        <v>£m 18/19</v>
      </c>
      <c r="D67" s="573"/>
      <c r="E67" s="573"/>
      <c r="F67" s="573"/>
      <c r="G67" s="573"/>
      <c r="H67" s="573"/>
      <c r="I67" s="535">
        <f>SUM(D67:INDEX(D67:H67,0,MATCH('RFPR cover'!$C$9,$D$6:$H$6,0)))</f>
        <v>0</v>
      </c>
      <c r="J67" s="536">
        <f t="shared" ref="J67:J71" si="10">SUM(D67:H67)</f>
        <v>0</v>
      </c>
    </row>
    <row r="68" spans="1:13" s="377" customFormat="1" ht="14.5" customHeight="1">
      <c r="A68" s="383" t="s">
        <v>497</v>
      </c>
      <c r="B68" s="587" t="str">
        <f>Data!B201</f>
        <v/>
      </c>
      <c r="C68" s="506" t="str">
        <f>Data!$C$9</f>
        <v>£m 18/19</v>
      </c>
      <c r="D68" s="573"/>
      <c r="E68" s="573"/>
      <c r="F68" s="573"/>
      <c r="G68" s="573"/>
      <c r="H68" s="573"/>
      <c r="I68" s="535">
        <f>SUM(D68:INDEX(D68:H68,0,MATCH('RFPR cover'!$C$9,$D$6:$H$6,0)))</f>
        <v>0</v>
      </c>
      <c r="J68" s="536">
        <f t="shared" si="10"/>
        <v>0</v>
      </c>
    </row>
    <row r="69" spans="1:13" s="377" customFormat="1" ht="14.5" customHeight="1">
      <c r="A69" s="383" t="s">
        <v>498</v>
      </c>
      <c r="B69" s="587" t="str">
        <f>Data!B202</f>
        <v/>
      </c>
      <c r="C69" s="506" t="str">
        <f>Data!$C$9</f>
        <v>£m 18/19</v>
      </c>
      <c r="D69" s="573"/>
      <c r="E69" s="573"/>
      <c r="F69" s="573"/>
      <c r="G69" s="573"/>
      <c r="H69" s="573"/>
      <c r="I69" s="535">
        <f>SUM(D69:INDEX(D69:H69,0,MATCH('RFPR cover'!$C$9,$D$6:$H$6,0)))</f>
        <v>0</v>
      </c>
      <c r="J69" s="536">
        <f t="shared" si="10"/>
        <v>0</v>
      </c>
    </row>
    <row r="70" spans="1:13" s="377" customFormat="1" ht="14.5" customHeight="1">
      <c r="A70" s="383" t="s">
        <v>499</v>
      </c>
      <c r="B70" s="587" t="str">
        <f>Data!B203</f>
        <v/>
      </c>
      <c r="C70" s="506" t="str">
        <f>Data!$C$9</f>
        <v>£m 18/19</v>
      </c>
      <c r="D70" s="573"/>
      <c r="E70" s="573"/>
      <c r="F70" s="573"/>
      <c r="G70" s="573"/>
      <c r="H70" s="573"/>
      <c r="I70" s="535">
        <f>SUM(D70:INDEX(D70:H70,0,MATCH('RFPR cover'!$C$9,$D$6:$H$6,0)))</f>
        <v>0</v>
      </c>
      <c r="J70" s="536">
        <f t="shared" si="10"/>
        <v>0</v>
      </c>
    </row>
    <row r="71" spans="1:13" s="377" customFormat="1" ht="14.5" customHeight="1">
      <c r="B71" s="519"/>
      <c r="C71" s="513" t="str">
        <f>Data!$C$9</f>
        <v>£m 18/19</v>
      </c>
      <c r="D71" s="547">
        <f>SUM(D66:D70)</f>
        <v>0</v>
      </c>
      <c r="E71" s="547">
        <f>SUM(E66:E70)</f>
        <v>-1.1970730000000001</v>
      </c>
      <c r="F71" s="547">
        <f>SUM(F66:F70)</f>
        <v>0</v>
      </c>
      <c r="G71" s="547">
        <f>SUM(G66:G70)</f>
        <v>0</v>
      </c>
      <c r="H71" s="547">
        <f>SUM(H66:H70)</f>
        <v>0</v>
      </c>
      <c r="I71" s="535">
        <f>SUM(D71:INDEX(D71:H71,0,MATCH('RFPR cover'!$C$9,$D$6:$H$6,0)))</f>
        <v>-1.1970730000000001</v>
      </c>
      <c r="J71" s="536">
        <f t="shared" si="10"/>
        <v>-1.1970730000000001</v>
      </c>
    </row>
    <row r="72" spans="1:13" s="377" customFormat="1" ht="14.5" customHeight="1">
      <c r="B72" s="519"/>
      <c r="C72" s="513"/>
      <c r="D72" s="513"/>
      <c r="E72" s="513"/>
      <c r="F72" s="513"/>
      <c r="G72" s="513"/>
      <c r="H72" s="513"/>
      <c r="I72" s="513"/>
    </row>
    <row r="73" spans="1:13" s="575" customFormat="1" ht="14.25" customHeight="1">
      <c r="A73" s="574"/>
      <c r="M73" s="377"/>
    </row>
    <row r="74" spans="1:13" s="377" customFormat="1">
      <c r="A74" s="576"/>
      <c r="B74" s="577" t="s">
        <v>641</v>
      </c>
      <c r="C74" s="578"/>
      <c r="D74" s="578"/>
      <c r="E74" s="578"/>
      <c r="F74" s="578"/>
      <c r="G74" s="578"/>
      <c r="H74" s="578"/>
      <c r="I74" s="578"/>
      <c r="J74" s="578"/>
    </row>
    <row r="75" spans="1:13" s="377" customFormat="1">
      <c r="A75" s="579" t="s">
        <v>492</v>
      </c>
      <c r="B75" s="577"/>
      <c r="C75" s="578"/>
      <c r="D75" s="578"/>
      <c r="E75" s="578"/>
      <c r="F75" s="578"/>
      <c r="G75" s="578"/>
      <c r="H75" s="578"/>
      <c r="I75" s="578"/>
      <c r="J75" s="578"/>
    </row>
    <row r="76" spans="1:13" s="377" customFormat="1">
      <c r="A76" s="579" t="s">
        <v>493</v>
      </c>
      <c r="B76" s="577"/>
      <c r="C76" s="578"/>
      <c r="D76" s="578"/>
      <c r="E76" s="578"/>
      <c r="F76" s="578"/>
      <c r="G76" s="578"/>
      <c r="H76" s="578"/>
      <c r="I76" s="578"/>
      <c r="J76" s="578"/>
    </row>
    <row r="77" spans="1:13" s="377" customFormat="1">
      <c r="A77" s="579" t="s">
        <v>494</v>
      </c>
      <c r="B77" s="1427"/>
      <c r="C77" s="1427"/>
      <c r="D77" s="1427"/>
      <c r="E77" s="1427"/>
      <c r="F77" s="1427"/>
      <c r="G77" s="1427"/>
      <c r="H77" s="1427"/>
      <c r="I77" s="1427"/>
      <c r="J77" s="1427"/>
    </row>
    <row r="78" spans="1:13" s="377" customFormat="1">
      <c r="A78" s="579" t="s">
        <v>495</v>
      </c>
      <c r="B78" s="1427"/>
      <c r="C78" s="1427"/>
      <c r="D78" s="1427"/>
      <c r="E78" s="1427"/>
      <c r="F78" s="1427"/>
      <c r="G78" s="1427"/>
      <c r="H78" s="1427"/>
      <c r="I78" s="1427"/>
      <c r="J78" s="1427"/>
    </row>
    <row r="79" spans="1:13" s="377" customFormat="1">
      <c r="A79" s="579" t="s">
        <v>496</v>
      </c>
      <c r="B79" s="1427"/>
      <c r="C79" s="1427"/>
      <c r="D79" s="1427"/>
      <c r="E79" s="1427"/>
      <c r="F79" s="1427"/>
      <c r="G79" s="1427"/>
      <c r="H79" s="1427"/>
      <c r="I79" s="1427"/>
      <c r="J79" s="1427"/>
    </row>
    <row r="80" spans="1:13" s="377" customFormat="1">
      <c r="A80" s="579" t="s">
        <v>497</v>
      </c>
      <c r="B80" s="1427"/>
      <c r="C80" s="1427"/>
      <c r="D80" s="1427"/>
      <c r="E80" s="1427"/>
      <c r="F80" s="1427"/>
      <c r="G80" s="1427"/>
      <c r="H80" s="1427"/>
      <c r="I80" s="1427"/>
      <c r="J80" s="1427"/>
    </row>
    <row r="81" spans="1:10" s="377" customFormat="1">
      <c r="A81" s="579" t="s">
        <v>498</v>
      </c>
      <c r="B81" s="440"/>
      <c r="C81" s="440"/>
      <c r="D81" s="440"/>
      <c r="E81" s="440"/>
      <c r="F81" s="440"/>
      <c r="G81" s="440"/>
      <c r="H81" s="440"/>
      <c r="I81" s="440"/>
      <c r="J81" s="440"/>
    </row>
    <row r="82" spans="1:10" s="377" customFormat="1">
      <c r="A82" s="579" t="s">
        <v>499</v>
      </c>
      <c r="B82" s="1427"/>
      <c r="C82" s="1427"/>
      <c r="D82" s="1427"/>
      <c r="E82" s="1427"/>
      <c r="F82" s="1427"/>
      <c r="G82" s="1427"/>
      <c r="H82" s="1427"/>
      <c r="I82" s="1427"/>
      <c r="J82" s="1427"/>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52" priority="1">
      <formula>AND(D$5="Actuals",E$5="Forecast")</formula>
    </cfRule>
  </conditionalFormatting>
  <conditionalFormatting sqref="H5:H6">
    <cfRule type="expression" dxfId="51" priority="237">
      <formula>AND(H$5="Actuals",#REF!="Forecast")</formula>
    </cfRule>
  </conditionalFormatting>
  <conditionalFormatting sqref="I5 D5:G6">
    <cfRule type="expression" dxfId="50"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Normal="100" workbookViewId="0"/>
  </sheetViews>
  <sheetFormatPr defaultColWidth="0" defaultRowHeight="13.5" zeroHeight="1"/>
  <cols>
    <col min="1" max="1" width="8.3828125" style="136" customWidth="1"/>
    <col min="2" max="2" width="74.84375" style="136" customWidth="1"/>
    <col min="3" max="3" width="14.15234375" style="136" customWidth="1"/>
    <col min="4" max="8" width="11.15234375" style="136" customWidth="1"/>
    <col min="9" max="10" width="12.84375" style="136" customWidth="1"/>
    <col min="11" max="11" width="5" style="136" customWidth="1"/>
    <col min="12" max="23" width="9.23046875" style="136" customWidth="1"/>
    <col min="24" max="27" width="9" style="136" hidden="1" customWidth="1"/>
    <col min="28" max="16384" width="9" style="136" hidden="1"/>
  </cols>
  <sheetData>
    <row r="1" spans="1:27" ht="20">
      <c r="A1" s="362" t="s">
        <v>264</v>
      </c>
      <c r="B1" s="364"/>
      <c r="C1" s="365"/>
      <c r="D1" s="365"/>
      <c r="E1" s="365"/>
      <c r="F1" s="365"/>
      <c r="G1" s="365"/>
      <c r="H1" s="365"/>
      <c r="I1" s="366"/>
      <c r="J1" s="366"/>
      <c r="K1" s="494"/>
    </row>
    <row r="2" spans="1:27" ht="20">
      <c r="A2" s="367" t="str">
        <f>Licensee</f>
        <v>SGN - Southern</v>
      </c>
      <c r="B2" s="369"/>
      <c r="C2" s="370"/>
      <c r="D2" s="370"/>
      <c r="E2" s="370"/>
      <c r="F2" s="370"/>
      <c r="G2" s="370"/>
      <c r="H2" s="370"/>
      <c r="I2" s="371"/>
      <c r="J2" s="371"/>
      <c r="K2" s="372"/>
    </row>
    <row r="3" spans="1:27" ht="20">
      <c r="A3" s="590">
        <f>Reporting_Year</f>
        <v>2024</v>
      </c>
      <c r="B3" s="591" t="str">
        <f>IF('RFPR cover'!C7=Data!B86,"Not required to be completed for System Operator","")</f>
        <v/>
      </c>
      <c r="C3" s="590"/>
      <c r="D3" s="373"/>
      <c r="E3" s="373"/>
      <c r="F3" s="373"/>
      <c r="G3" s="373"/>
      <c r="H3" s="373"/>
      <c r="I3" s="374"/>
      <c r="J3" s="374"/>
      <c r="K3" s="375"/>
    </row>
    <row r="4" spans="1:27" ht="12.75" customHeight="1">
      <c r="A4" s="592"/>
      <c r="B4" s="592"/>
      <c r="C4" s="592"/>
      <c r="D4" s="592"/>
      <c r="E4" s="592"/>
      <c r="F4" s="592"/>
      <c r="G4" s="592"/>
      <c r="H4" s="592"/>
      <c r="I4" s="593"/>
    </row>
    <row r="5" spans="1:27">
      <c r="A5" s="377"/>
      <c r="B5" s="517"/>
      <c r="C5" s="517"/>
      <c r="D5" s="376" t="str">
        <f t="shared" ref="D5:I5" si="0">IF(D6&lt;=Reporting_Year,"Actuals","Forecast")</f>
        <v>Actuals</v>
      </c>
      <c r="E5" s="376" t="str">
        <f t="shared" si="0"/>
        <v>Actuals</v>
      </c>
      <c r="F5" s="376" t="str">
        <f t="shared" si="0"/>
        <v>Actuals</v>
      </c>
      <c r="G5" s="376" t="str">
        <f t="shared" si="0"/>
        <v>Forecast</v>
      </c>
      <c r="H5" s="376" t="str">
        <f t="shared" si="0"/>
        <v>Forecast</v>
      </c>
      <c r="I5" s="376" t="str">
        <f t="shared" si="0"/>
        <v>Forecast</v>
      </c>
      <c r="J5" s="377"/>
      <c r="K5" s="377"/>
      <c r="L5" s="377"/>
      <c r="M5" s="377"/>
      <c r="N5" s="377"/>
      <c r="O5" s="377"/>
      <c r="P5" s="377"/>
      <c r="Q5" s="377"/>
      <c r="R5" s="377"/>
      <c r="S5" s="377"/>
      <c r="T5" s="377"/>
      <c r="U5" s="377"/>
      <c r="V5" s="377"/>
      <c r="W5" s="377"/>
      <c r="X5" s="377"/>
      <c r="Y5" s="377"/>
      <c r="Z5" s="377"/>
      <c r="AA5" s="377"/>
    </row>
    <row r="6" spans="1:27" ht="27">
      <c r="A6" s="377"/>
      <c r="B6" s="377"/>
      <c r="C6" s="377"/>
      <c r="D6" s="495">
        <f>'RFPR cover'!$C$6</f>
        <v>2022</v>
      </c>
      <c r="E6" s="496">
        <f>D6+1</f>
        <v>2023</v>
      </c>
      <c r="F6" s="496">
        <f t="shared" ref="F6:H6" si="1">E6+1</f>
        <v>2024</v>
      </c>
      <c r="G6" s="496">
        <f t="shared" si="1"/>
        <v>2025</v>
      </c>
      <c r="H6" s="594">
        <f t="shared" si="1"/>
        <v>2026</v>
      </c>
      <c r="I6" s="595" t="str">
        <f>"Cumulative to "&amp;'RFPR cover'!$C$9</f>
        <v>Cumulative to 2024</v>
      </c>
      <c r="J6" s="596" t="s">
        <v>481</v>
      </c>
      <c r="K6" s="377"/>
      <c r="L6" s="377"/>
      <c r="M6" s="377"/>
      <c r="N6" s="377"/>
      <c r="O6" s="377"/>
      <c r="P6" s="377"/>
      <c r="Q6" s="377"/>
      <c r="R6" s="377"/>
      <c r="S6" s="377"/>
      <c r="T6" s="377"/>
      <c r="U6" s="377"/>
      <c r="V6" s="377"/>
      <c r="W6" s="377"/>
      <c r="X6" s="377"/>
      <c r="Y6" s="377"/>
      <c r="Z6" s="377"/>
      <c r="AA6" s="377"/>
    </row>
    <row r="7" spans="1:27">
      <c r="A7" s="377"/>
      <c r="B7" s="377"/>
      <c r="C7" s="377"/>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597" t="str">
        <f>RIIO_2_start_date+3&amp;"/"&amp;RIGHT(RIIO_2_start_date+4,2)</f>
        <v>2025/26</v>
      </c>
      <c r="I7" s="377"/>
      <c r="J7" s="377"/>
      <c r="K7" s="377"/>
      <c r="L7" s="377"/>
      <c r="M7" s="377"/>
      <c r="N7" s="377"/>
      <c r="O7" s="377"/>
      <c r="P7" s="377"/>
      <c r="Q7" s="377"/>
      <c r="R7" s="377"/>
      <c r="S7" s="377"/>
      <c r="T7" s="377"/>
      <c r="U7" s="377"/>
      <c r="V7" s="377"/>
      <c r="W7" s="377"/>
      <c r="X7" s="377"/>
      <c r="Y7" s="377"/>
      <c r="Z7" s="377"/>
      <c r="AA7" s="377"/>
    </row>
    <row r="8" spans="1:27">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row>
    <row r="9" spans="1:27">
      <c r="B9" s="598" t="str">
        <f>'R5a - Financing input'!C92</f>
        <v>Net Interest Per Statutory Accounts</v>
      </c>
      <c r="C9" s="29" t="s">
        <v>520</v>
      </c>
      <c r="D9" s="626">
        <v>161</v>
      </c>
      <c r="E9" s="626">
        <v>152</v>
      </c>
      <c r="F9" s="626">
        <v>156</v>
      </c>
      <c r="G9" s="626">
        <v>124.22678533797136</v>
      </c>
      <c r="H9" s="626">
        <v>147.46333095546345</v>
      </c>
      <c r="I9" s="377"/>
      <c r="J9" s="377"/>
    </row>
    <row r="10" spans="1:27">
      <c r="B10" s="467"/>
      <c r="C10" s="29"/>
      <c r="D10" s="39"/>
      <c r="E10" s="39"/>
      <c r="F10" s="39"/>
      <c r="G10" s="39"/>
      <c r="H10" s="39"/>
      <c r="I10" s="377"/>
      <c r="J10" s="377"/>
    </row>
    <row r="11" spans="1:27">
      <c r="B11" s="467" t="s">
        <v>666</v>
      </c>
      <c r="C11" s="599"/>
      <c r="D11" s="600"/>
      <c r="E11" s="600"/>
      <c r="F11" s="600"/>
      <c r="G11" s="600"/>
      <c r="H11" s="600"/>
      <c r="I11" s="377"/>
      <c r="J11" s="377"/>
    </row>
    <row r="12" spans="1:27">
      <c r="B12" s="601" t="str">
        <f>'R5a - Financing input'!C100</f>
        <v>Interest not qualifying for corporation tax relief</v>
      </c>
      <c r="C12" s="29" t="s">
        <v>520</v>
      </c>
      <c r="D12" s="626">
        <v>4</v>
      </c>
      <c r="E12" s="626">
        <v>6</v>
      </c>
      <c r="F12" s="626">
        <v>7</v>
      </c>
      <c r="G12" s="626">
        <v>0</v>
      </c>
      <c r="H12" s="626">
        <v>0</v>
      </c>
      <c r="I12" s="377"/>
      <c r="J12" s="377"/>
    </row>
    <row r="13" spans="1:27">
      <c r="B13" s="601" t="str">
        <f>'R5a - Financing input'!C101</f>
        <v>Fair value adjustments (e.g. losses on derivatives)</v>
      </c>
      <c r="C13" s="29" t="s">
        <v>520</v>
      </c>
      <c r="D13" s="626">
        <v>-0.11430378000000019</v>
      </c>
      <c r="E13" s="626">
        <v>-7</v>
      </c>
      <c r="F13" s="626">
        <v>-12</v>
      </c>
      <c r="G13" s="626">
        <v>0</v>
      </c>
      <c r="H13" s="626">
        <v>0</v>
      </c>
      <c r="I13" s="377"/>
      <c r="J13" s="377"/>
    </row>
    <row r="14" spans="1:27">
      <c r="B14" s="601" t="str">
        <f>'R5a - Financing input'!C102</f>
        <v>Dividends on preference shares</v>
      </c>
      <c r="C14" s="29" t="s">
        <v>520</v>
      </c>
      <c r="D14" s="626">
        <v>0</v>
      </c>
      <c r="E14" s="626">
        <v>0</v>
      </c>
      <c r="F14" s="626">
        <v>0</v>
      </c>
      <c r="G14" s="626">
        <v>0</v>
      </c>
      <c r="H14" s="626">
        <v>0</v>
      </c>
      <c r="I14" s="377"/>
      <c r="J14" s="377"/>
    </row>
    <row r="15" spans="1:27">
      <c r="B15" s="601" t="str">
        <f>'R5a - Financing input'!C103</f>
        <v>Costs of early redemption on long term debt</v>
      </c>
      <c r="C15" s="29" t="s">
        <v>520</v>
      </c>
      <c r="D15" s="626">
        <v>0</v>
      </c>
      <c r="E15" s="626">
        <v>0</v>
      </c>
      <c r="F15" s="626">
        <v>0</v>
      </c>
      <c r="G15" s="626">
        <v>0</v>
      </c>
      <c r="H15" s="626">
        <v>0</v>
      </c>
      <c r="I15" s="377"/>
      <c r="J15" s="377"/>
    </row>
    <row r="16" spans="1:27">
      <c r="B16" s="601" t="str">
        <f>'R5a - Financing input'!C104</f>
        <v>Swap Termination Costs paid</v>
      </c>
      <c r="C16" s="29" t="s">
        <v>520</v>
      </c>
      <c r="D16" s="626">
        <v>19.982959999999999</v>
      </c>
      <c r="E16" s="626">
        <v>0</v>
      </c>
      <c r="F16" s="626">
        <v>0</v>
      </c>
      <c r="G16" s="626">
        <v>0</v>
      </c>
      <c r="H16" s="626">
        <v>0</v>
      </c>
      <c r="I16" s="377"/>
      <c r="J16" s="377"/>
    </row>
    <row r="17" spans="2:9">
      <c r="B17" s="601" t="str">
        <f>'R5a - Financing input'!C105</f>
        <v>Movements relating to pension fund liabilities reported within net interest</v>
      </c>
      <c r="C17" s="29" t="s">
        <v>520</v>
      </c>
      <c r="D17" s="626">
        <v>0</v>
      </c>
      <c r="E17" s="626">
        <v>0</v>
      </c>
      <c r="F17" s="626">
        <v>0</v>
      </c>
      <c r="G17" s="626">
        <v>0</v>
      </c>
      <c r="H17" s="626">
        <v>0</v>
      </c>
      <c r="I17" s="377"/>
    </row>
    <row r="18" spans="2:9">
      <c r="B18" s="601" t="str">
        <f>'R5a - Financing input'!C106</f>
        <v>Debt issuance expenses (inc. amortisation to discounts that had previously benefitted from a tax deduction)</v>
      </c>
      <c r="C18" s="29" t="s">
        <v>520</v>
      </c>
      <c r="D18" s="626">
        <v>-1.59017078</v>
      </c>
      <c r="E18" s="626">
        <v>-1.23316603</v>
      </c>
      <c r="F18" s="626">
        <v>-1.2954517516994741</v>
      </c>
      <c r="G18" s="626">
        <v>-1.1833922664585095</v>
      </c>
      <c r="H18" s="626">
        <v>-1.7388550215521097</v>
      </c>
      <c r="I18" s="377"/>
    </row>
    <row r="19" spans="2:9" ht="12.75" customHeight="1">
      <c r="B19" s="601" t="str">
        <f>'R5a - Financing input'!C107</f>
        <v>Commitment fees for undrawn liquidity backup lines</v>
      </c>
      <c r="C19" s="29" t="s">
        <v>520</v>
      </c>
      <c r="D19" s="626">
        <v>-0.6658987943835617</v>
      </c>
      <c r="E19" s="626">
        <v>-0.22601902000000001</v>
      </c>
      <c r="F19" s="626">
        <v>-0.52084678000000006</v>
      </c>
      <c r="G19" s="626">
        <v>0</v>
      </c>
      <c r="H19" s="626">
        <v>0</v>
      </c>
      <c r="I19" s="377"/>
    </row>
    <row r="20" spans="2:9">
      <c r="B20" s="601" t="str">
        <f>'R5a - Financing input'!C108</f>
        <v>1. Environmental Provision Unwind</v>
      </c>
      <c r="C20" s="29" t="s">
        <v>520</v>
      </c>
      <c r="D20" s="626">
        <v>-0.13303300000000001</v>
      </c>
      <c r="E20" s="626">
        <v>-0.30235216999999998</v>
      </c>
      <c r="F20" s="626">
        <v>-0.21635531</v>
      </c>
      <c r="G20" s="626">
        <v>0</v>
      </c>
      <c r="H20" s="626">
        <v>0</v>
      </c>
      <c r="I20" s="377"/>
    </row>
    <row r="21" spans="2:9">
      <c r="B21" s="601" t="str">
        <f>'R5a - Financing input'!C109</f>
        <v>2. Remove "Clean Fair Value (exc. accrued accretion)" from CPI-Swaps</v>
      </c>
      <c r="C21" s="29" t="s">
        <v>520</v>
      </c>
      <c r="D21" s="626">
        <v>-32.368070905127219</v>
      </c>
      <c r="E21" s="626">
        <v>58.8334476523722</v>
      </c>
      <c r="F21" s="626">
        <v>13.173369807065333</v>
      </c>
      <c r="G21" s="626">
        <v>0</v>
      </c>
      <c r="H21" s="626">
        <v>0</v>
      </c>
      <c r="I21" s="377"/>
    </row>
    <row r="22" spans="2:9">
      <c r="B22" s="601" t="str">
        <f>'R5a - Financing input'!C110</f>
        <v>Other Adjustments [please specify]</v>
      </c>
      <c r="C22" s="29" t="s">
        <v>520</v>
      </c>
      <c r="D22" s="626">
        <v>0</v>
      </c>
      <c r="E22" s="626">
        <v>0</v>
      </c>
      <c r="F22" s="626">
        <v>0</v>
      </c>
      <c r="G22" s="626">
        <v>0</v>
      </c>
      <c r="H22" s="626">
        <v>0</v>
      </c>
      <c r="I22" s="377"/>
    </row>
    <row r="23" spans="2:9">
      <c r="B23" s="601" t="str">
        <f>'R5a - Financing input'!C111</f>
        <v>Other Adjustments [please specify]</v>
      </c>
      <c r="C23" s="29" t="s">
        <v>520</v>
      </c>
      <c r="D23" s="626">
        <v>0</v>
      </c>
      <c r="E23" s="626">
        <v>0</v>
      </c>
      <c r="F23" s="626">
        <v>0</v>
      </c>
      <c r="G23" s="626">
        <v>0</v>
      </c>
      <c r="H23" s="626">
        <v>0</v>
      </c>
      <c r="I23" s="377"/>
    </row>
    <row r="24" spans="2:9">
      <c r="B24" s="601" t="str">
        <f>'R5a - Financing input'!C112</f>
        <v>Other Adjustments [please specify]</v>
      </c>
      <c r="C24" s="29" t="s">
        <v>520</v>
      </c>
      <c r="D24" s="626">
        <v>0</v>
      </c>
      <c r="E24" s="626">
        <v>0</v>
      </c>
      <c r="F24" s="626">
        <v>0</v>
      </c>
      <c r="G24" s="626">
        <v>0</v>
      </c>
      <c r="H24" s="626">
        <v>0</v>
      </c>
      <c r="I24" s="377"/>
    </row>
    <row r="25" spans="2:9">
      <c r="B25" s="601" t="str">
        <f>'R5a - Financing input'!C113</f>
        <v>Other Adjustments [please specify]</v>
      </c>
      <c r="C25" s="29" t="s">
        <v>520</v>
      </c>
      <c r="D25" s="626">
        <v>0</v>
      </c>
      <c r="E25" s="626">
        <v>0</v>
      </c>
      <c r="F25" s="626">
        <v>0</v>
      </c>
      <c r="G25" s="626">
        <v>0</v>
      </c>
      <c r="H25" s="626">
        <v>0</v>
      </c>
      <c r="I25" s="377"/>
    </row>
    <row r="26" spans="2:9">
      <c r="B26" s="601" t="str">
        <f>'R5a - Financing input'!C114</f>
        <v>Other Adjustments [please specify]</v>
      </c>
      <c r="C26" s="29" t="s">
        <v>520</v>
      </c>
      <c r="D26" s="626">
        <v>0</v>
      </c>
      <c r="E26" s="626">
        <v>0</v>
      </c>
      <c r="F26" s="626">
        <v>0</v>
      </c>
      <c r="G26" s="626">
        <v>0</v>
      </c>
      <c r="H26" s="626">
        <v>0</v>
      </c>
      <c r="I26" s="377"/>
    </row>
    <row r="27" spans="2:9">
      <c r="B27" s="601" t="str">
        <f>'R5a - Financing input'!C115</f>
        <v>Other Adjustments [please specify]</v>
      </c>
      <c r="C27" s="29" t="s">
        <v>520</v>
      </c>
      <c r="D27" s="626">
        <v>0</v>
      </c>
      <c r="E27" s="626">
        <v>0</v>
      </c>
      <c r="F27" s="626">
        <v>0</v>
      </c>
      <c r="G27" s="626">
        <v>0</v>
      </c>
      <c r="H27" s="626">
        <v>0</v>
      </c>
      <c r="I27" s="377"/>
    </row>
    <row r="28" spans="2:9">
      <c r="B28" s="601" t="str">
        <f>'R5a - Financing input'!C116</f>
        <v>Other Adjustments [please specify]</v>
      </c>
      <c r="C28" s="29" t="s">
        <v>520</v>
      </c>
      <c r="D28" s="626">
        <v>0</v>
      </c>
      <c r="E28" s="626">
        <v>0</v>
      </c>
      <c r="F28" s="626">
        <v>0</v>
      </c>
      <c r="G28" s="626">
        <v>0</v>
      </c>
      <c r="H28" s="626">
        <v>0</v>
      </c>
      <c r="I28" s="377"/>
    </row>
    <row r="29" spans="2:9">
      <c r="B29" s="602" t="s">
        <v>568</v>
      </c>
      <c r="C29" s="29" t="s">
        <v>520</v>
      </c>
      <c r="D29" s="26">
        <v>150.11148274048921</v>
      </c>
      <c r="E29" s="27">
        <v>208.07191043237219</v>
      </c>
      <c r="F29" s="27">
        <v>162.14071596536584</v>
      </c>
      <c r="G29" s="27">
        <v>123.04339307151285</v>
      </c>
      <c r="H29" s="27">
        <v>145.72447593391135</v>
      </c>
      <c r="I29" s="377"/>
    </row>
    <row r="30" spans="2:9" ht="14">
      <c r="B30" s="603" t="s">
        <v>667</v>
      </c>
      <c r="C30" s="29" t="s">
        <v>520</v>
      </c>
      <c r="D30" s="582"/>
      <c r="E30" s="604"/>
      <c r="F30" s="604"/>
      <c r="G30" s="604">
        <v>0</v>
      </c>
      <c r="H30" s="604">
        <v>0</v>
      </c>
      <c r="I30" s="377"/>
    </row>
    <row r="31" spans="2:9">
      <c r="B31" s="1272" t="s">
        <v>668</v>
      </c>
      <c r="C31" s="29" t="s">
        <v>520</v>
      </c>
      <c r="D31" s="26">
        <v>150.11148274048921</v>
      </c>
      <c r="E31" s="27">
        <v>208.07191043237219</v>
      </c>
      <c r="F31" s="27">
        <v>162.14071596536584</v>
      </c>
      <c r="G31" s="27">
        <v>123.04339307151285</v>
      </c>
      <c r="H31" s="27">
        <v>145.72447593391135</v>
      </c>
      <c r="I31" s="377"/>
    </row>
    <row r="32" spans="2:9">
      <c r="B32" s="94" t="s">
        <v>669</v>
      </c>
      <c r="C32" s="29" t="s">
        <v>520</v>
      </c>
      <c r="D32" s="604">
        <v>150.2182020904892</v>
      </c>
      <c r="E32" s="604">
        <v>208.07191043237219</v>
      </c>
      <c r="F32" s="604">
        <v>162.14071596536584</v>
      </c>
      <c r="G32" s="604">
        <v>123.04339307151285</v>
      </c>
      <c r="H32" s="604">
        <v>145.72447593391135</v>
      </c>
      <c r="I32" s="377"/>
    </row>
    <row r="33" spans="2:11">
      <c r="B33" s="94" t="s">
        <v>670</v>
      </c>
      <c r="C33" s="29" t="s">
        <v>520</v>
      </c>
      <c r="D33" s="604">
        <v>-0.10671934999999998</v>
      </c>
      <c r="E33" s="604">
        <v>0</v>
      </c>
      <c r="F33" s="604">
        <v>0</v>
      </c>
      <c r="G33" s="604">
        <v>0</v>
      </c>
      <c r="H33" s="604">
        <v>0</v>
      </c>
      <c r="I33" s="377"/>
    </row>
    <row r="34" spans="2:11">
      <c r="B34" s="94"/>
      <c r="D34" s="627" t="s">
        <v>1216</v>
      </c>
      <c r="E34" s="628" t="s">
        <v>1216</v>
      </c>
      <c r="F34" s="628" t="s">
        <v>1216</v>
      </c>
      <c r="G34" s="628" t="s">
        <v>1216</v>
      </c>
      <c r="H34" s="628" t="s">
        <v>1216</v>
      </c>
      <c r="I34" s="377"/>
    </row>
    <row r="35" spans="2:11">
      <c r="D35" s="605"/>
      <c r="E35" s="605"/>
      <c r="F35" s="605"/>
      <c r="G35" s="605"/>
      <c r="H35" s="605"/>
      <c r="I35" s="377"/>
    </row>
    <row r="36" spans="2:11">
      <c r="B36" s="94" t="s">
        <v>671</v>
      </c>
      <c r="C36" s="29" t="s">
        <v>520</v>
      </c>
      <c r="D36" s="604">
        <v>51.434375137959258</v>
      </c>
      <c r="E36" s="604">
        <v>123.79126892270874</v>
      </c>
      <c r="F36" s="604">
        <v>75.894920288357994</v>
      </c>
      <c r="G36" s="604">
        <v>28.637996182846543</v>
      </c>
      <c r="H36" s="604">
        <v>7.0508940501201778</v>
      </c>
      <c r="I36" s="377"/>
    </row>
    <row r="37" spans="2:11">
      <c r="D37" s="605"/>
      <c r="E37" s="605"/>
      <c r="F37" s="605"/>
      <c r="G37" s="605"/>
      <c r="H37" s="605"/>
      <c r="I37" s="377"/>
    </row>
    <row r="38" spans="2:11">
      <c r="B38" s="94" t="s">
        <v>672</v>
      </c>
      <c r="C38" s="29" t="s">
        <v>520</v>
      </c>
      <c r="D38" s="626">
        <v>135.55509829933104</v>
      </c>
      <c r="E38" s="626">
        <v>276.52779759743379</v>
      </c>
      <c r="F38" s="626">
        <v>181.72713187799047</v>
      </c>
      <c r="G38" s="626">
        <v>78.328338263456189</v>
      </c>
      <c r="H38" s="626">
        <v>54.27710226656081</v>
      </c>
      <c r="I38" s="377"/>
      <c r="K38" s="384"/>
    </row>
    <row r="39" spans="2:11">
      <c r="B39" s="94"/>
      <c r="C39" s="29"/>
      <c r="D39" s="606"/>
      <c r="E39" s="606"/>
      <c r="F39" s="606"/>
      <c r="G39" s="606"/>
      <c r="H39" s="606"/>
      <c r="I39" s="377"/>
      <c r="K39" s="384"/>
    </row>
    <row r="40" spans="2:11">
      <c r="B40" s="94" t="s">
        <v>673</v>
      </c>
      <c r="C40" s="29" t="s">
        <v>520</v>
      </c>
      <c r="D40" s="21">
        <v>14.556384441158173</v>
      </c>
      <c r="E40" s="21">
        <v>-68.455887165061597</v>
      </c>
      <c r="F40" s="21">
        <v>-19.586415912624631</v>
      </c>
      <c r="G40" s="21">
        <v>44.715054808056664</v>
      </c>
      <c r="H40" s="21">
        <v>91.447373667350547</v>
      </c>
    </row>
    <row r="41" spans="2:11">
      <c r="B41" s="94"/>
      <c r="C41" s="29"/>
      <c r="D41" s="29"/>
      <c r="E41" s="29"/>
      <c r="F41" s="29"/>
      <c r="G41" s="29"/>
      <c r="H41" s="29"/>
      <c r="I41" s="29"/>
      <c r="K41" s="384"/>
    </row>
    <row r="42" spans="2:11">
      <c r="B42" s="607" t="s">
        <v>674</v>
      </c>
      <c r="C42" s="29" t="s">
        <v>675</v>
      </c>
      <c r="D42" s="629">
        <v>1.0847835302284383</v>
      </c>
      <c r="E42" s="629">
        <v>1.1799638149272795</v>
      </c>
      <c r="F42" s="629">
        <v>1.2454152449594804</v>
      </c>
      <c r="G42" s="629">
        <v>1.2741504065955518</v>
      </c>
      <c r="H42" s="629">
        <v>1.2937411435491952</v>
      </c>
      <c r="I42" s="29"/>
      <c r="K42" s="384"/>
    </row>
    <row r="43" spans="2:11">
      <c r="I43" s="506"/>
      <c r="J43" s="506"/>
      <c r="K43" s="506"/>
    </row>
    <row r="44" spans="2:11">
      <c r="B44" s="92" t="s">
        <v>673</v>
      </c>
      <c r="C44" s="513" t="str">
        <f>Data!$C$9</f>
        <v>£m 18/19</v>
      </c>
      <c r="D44" s="26">
        <v>13.418699708773074</v>
      </c>
      <c r="E44" s="27">
        <v>-58.015242754948794</v>
      </c>
      <c r="F44" s="27">
        <v>-15.726815607803061</v>
      </c>
      <c r="G44" s="27">
        <v>35.094016041271317</v>
      </c>
      <c r="H44" s="27">
        <v>70.684444197606368</v>
      </c>
      <c r="I44" s="630">
        <v>-60.323358653978779</v>
      </c>
      <c r="J44" s="631">
        <v>45.455101584898905</v>
      </c>
    </row>
    <row r="45" spans="2:11">
      <c r="B45" s="94"/>
      <c r="C45" s="506"/>
      <c r="D45" s="608"/>
      <c r="E45" s="608"/>
      <c r="F45" s="608"/>
      <c r="G45" s="608"/>
      <c r="H45" s="608"/>
      <c r="I45" s="609"/>
      <c r="J45" s="609"/>
    </row>
    <row r="46" spans="2:11">
      <c r="B46" s="92" t="s">
        <v>676</v>
      </c>
      <c r="C46" s="29"/>
      <c r="D46" s="608"/>
      <c r="E46" s="608"/>
      <c r="F46" s="608"/>
      <c r="G46" s="608"/>
      <c r="H46" s="608"/>
      <c r="I46" s="609"/>
      <c r="J46" s="609"/>
    </row>
    <row r="47" spans="2:11">
      <c r="B47" s="601" t="str">
        <f>'R5a - Financing input'!C119</f>
        <v>Add back Debt Issuance expenses</v>
      </c>
      <c r="C47" s="29" t="s">
        <v>520</v>
      </c>
      <c r="D47" s="123">
        <v>1.59017078</v>
      </c>
      <c r="E47" s="123">
        <v>1.23316603</v>
      </c>
      <c r="F47" s="123">
        <v>1.2954517516994741</v>
      </c>
      <c r="G47" s="123">
        <v>1.1833922664585095</v>
      </c>
      <c r="H47" s="123">
        <v>1.7388550215521097</v>
      </c>
      <c r="I47" s="630">
        <v>4.1187885616994739</v>
      </c>
      <c r="J47" s="630">
        <v>7.0410358497100924</v>
      </c>
    </row>
    <row r="48" spans="2:11" ht="14">
      <c r="B48" s="601" t="s">
        <v>677</v>
      </c>
      <c r="C48" s="29" t="s">
        <v>520</v>
      </c>
      <c r="D48" s="582"/>
      <c r="E48" s="604"/>
      <c r="F48" s="604">
        <v>0</v>
      </c>
      <c r="G48" s="604">
        <v>-2.8951332848318612</v>
      </c>
      <c r="H48" s="604">
        <v>-3.4487631642543857</v>
      </c>
      <c r="I48" s="630">
        <v>0</v>
      </c>
      <c r="J48" s="630">
        <v>-6.3438964490862464</v>
      </c>
    </row>
    <row r="49" spans="1:11">
      <c r="B49" s="601" t="str">
        <f>'R5a - Financing input'!C120</f>
        <v>Costs of early redemption on long term debt (excluding exceptional costs of buy backs associated with M&amp;A activity)</v>
      </c>
      <c r="C49" s="29" t="s">
        <v>520</v>
      </c>
      <c r="D49" s="123">
        <v>0</v>
      </c>
      <c r="E49" s="123">
        <v>0</v>
      </c>
      <c r="F49" s="123">
        <v>0</v>
      </c>
      <c r="G49" s="123">
        <v>0</v>
      </c>
      <c r="H49" s="123">
        <v>0</v>
      </c>
      <c r="I49" s="630">
        <v>0</v>
      </c>
      <c r="J49" s="630">
        <v>0</v>
      </c>
    </row>
    <row r="50" spans="1:11">
      <c r="B50" s="601" t="str">
        <f>'R5a - Financing input'!C121</f>
        <v>Add accrual for inflation accretion on index-linked swaps (if applicable)</v>
      </c>
      <c r="C50" s="29" t="s">
        <v>520</v>
      </c>
      <c r="D50" s="123">
        <v>0</v>
      </c>
      <c r="E50" s="123">
        <v>0</v>
      </c>
      <c r="F50" s="123">
        <v>0</v>
      </c>
      <c r="G50" s="123">
        <v>0</v>
      </c>
      <c r="H50" s="123">
        <v>0</v>
      </c>
      <c r="I50" s="630">
        <v>0</v>
      </c>
      <c r="J50" s="630">
        <v>0</v>
      </c>
    </row>
    <row r="51" spans="1:11">
      <c r="B51" s="601" t="str">
        <f>'R5a - Financing input'!C122</f>
        <v>Other Adjustments [please specify]</v>
      </c>
      <c r="C51" s="29" t="s">
        <v>520</v>
      </c>
      <c r="D51" s="123">
        <v>0</v>
      </c>
      <c r="E51" s="123">
        <v>0</v>
      </c>
      <c r="F51" s="123">
        <v>0</v>
      </c>
      <c r="G51" s="123">
        <v>0</v>
      </c>
      <c r="H51" s="123">
        <v>0</v>
      </c>
      <c r="I51" s="630">
        <v>0</v>
      </c>
      <c r="J51" s="630">
        <v>0</v>
      </c>
    </row>
    <row r="52" spans="1:11">
      <c r="B52" s="601" t="str">
        <f>'R5a - Financing input'!C123</f>
        <v>Other Adjustments [please specify]</v>
      </c>
      <c r="C52" s="29" t="s">
        <v>520</v>
      </c>
      <c r="D52" s="123">
        <v>0</v>
      </c>
      <c r="E52" s="123">
        <v>0</v>
      </c>
      <c r="F52" s="123">
        <v>0</v>
      </c>
      <c r="G52" s="123">
        <v>0</v>
      </c>
      <c r="H52" s="123">
        <v>0</v>
      </c>
      <c r="I52" s="630">
        <v>0</v>
      </c>
      <c r="J52" s="630">
        <v>0</v>
      </c>
    </row>
    <row r="53" spans="1:11">
      <c r="B53" s="601" t="str">
        <f>'R5a - Financing input'!C124</f>
        <v>Other Adjustments [please specify]</v>
      </c>
      <c r="C53" s="29" t="s">
        <v>520</v>
      </c>
      <c r="D53" s="123">
        <v>0</v>
      </c>
      <c r="E53" s="123">
        <v>0</v>
      </c>
      <c r="F53" s="123">
        <v>0</v>
      </c>
      <c r="G53" s="123">
        <v>0</v>
      </c>
      <c r="H53" s="123">
        <v>0</v>
      </c>
      <c r="I53" s="630">
        <v>0</v>
      </c>
      <c r="J53" s="630">
        <v>0</v>
      </c>
    </row>
    <row r="54" spans="1:11">
      <c r="B54" s="601" t="str">
        <f>'R5a - Financing input'!C125</f>
        <v>Other Adjustments [please specify]</v>
      </c>
      <c r="C54" s="29" t="s">
        <v>520</v>
      </c>
      <c r="D54" s="123">
        <v>0</v>
      </c>
      <c r="E54" s="123">
        <v>0</v>
      </c>
      <c r="F54" s="123">
        <v>0</v>
      </c>
      <c r="G54" s="123">
        <v>0</v>
      </c>
      <c r="H54" s="123">
        <v>0</v>
      </c>
      <c r="I54" s="630">
        <v>0</v>
      </c>
      <c r="J54" s="630">
        <v>0</v>
      </c>
    </row>
    <row r="55" spans="1:11">
      <c r="A55" s="610"/>
      <c r="B55" s="611"/>
      <c r="C55" s="122"/>
      <c r="D55" s="612"/>
      <c r="E55" s="612"/>
      <c r="F55" s="612"/>
      <c r="G55" s="612"/>
      <c r="H55" s="612"/>
      <c r="I55" s="613"/>
      <c r="J55" s="613"/>
      <c r="K55" s="610"/>
    </row>
    <row r="56" spans="1:11">
      <c r="B56" s="614" t="s">
        <v>678</v>
      </c>
      <c r="C56" s="40" t="s">
        <v>520</v>
      </c>
      <c r="D56" s="26">
        <v>1.59017078</v>
      </c>
      <c r="E56" s="26">
        <v>1.23316603</v>
      </c>
      <c r="F56" s="26">
        <v>1.2954517516994741</v>
      </c>
      <c r="G56" s="26">
        <v>-1.7117410183733517</v>
      </c>
      <c r="H56" s="26">
        <v>-1.709908142702276</v>
      </c>
      <c r="I56" s="630">
        <v>4.1187885616994739</v>
      </c>
      <c r="J56" s="631">
        <v>0.69713940062384627</v>
      </c>
    </row>
    <row r="57" spans="1:11">
      <c r="B57" s="614" t="s">
        <v>678</v>
      </c>
      <c r="C57" s="513" t="str">
        <f>Data!$C$9</f>
        <v>£m 18/19</v>
      </c>
      <c r="D57" s="26">
        <v>1.4658876501057636</v>
      </c>
      <c r="E57" s="26">
        <v>1.0450880055809164</v>
      </c>
      <c r="F57" s="26">
        <v>1.0401765651596964</v>
      </c>
      <c r="G57" s="26">
        <v>-1.3434371715557616</v>
      </c>
      <c r="H57" s="26">
        <v>-1.3216771772530831</v>
      </c>
      <c r="I57" s="630">
        <v>3.5511522208463768</v>
      </c>
      <c r="J57" s="631">
        <v>0.88603787203753237</v>
      </c>
    </row>
    <row r="58" spans="1:11">
      <c r="B58" s="94"/>
      <c r="C58" s="506"/>
      <c r="D58" s="608"/>
      <c r="E58" s="608"/>
      <c r="F58" s="608"/>
      <c r="G58" s="608"/>
      <c r="H58" s="608"/>
      <c r="I58" s="609"/>
      <c r="J58" s="609"/>
    </row>
    <row r="59" spans="1:11">
      <c r="A59" s="505"/>
      <c r="B59" s="377"/>
      <c r="C59" s="377"/>
      <c r="D59" s="377"/>
      <c r="E59" s="377"/>
      <c r="F59" s="377"/>
      <c r="G59" s="377"/>
      <c r="H59" s="377"/>
      <c r="I59" s="377"/>
      <c r="J59" s="377"/>
      <c r="K59" s="377"/>
    </row>
    <row r="60" spans="1:11">
      <c r="A60" s="505"/>
      <c r="B60" s="615" t="s">
        <v>679</v>
      </c>
      <c r="C60" s="431"/>
      <c r="D60" s="431"/>
      <c r="E60" s="431"/>
      <c r="F60" s="431"/>
      <c r="G60" s="431"/>
      <c r="H60" s="431"/>
      <c r="I60" s="431"/>
      <c r="J60" s="431"/>
      <c r="K60" s="431"/>
    </row>
    <row r="61" spans="1:11">
      <c r="A61" s="505"/>
      <c r="B61" s="616" t="s">
        <v>680</v>
      </c>
      <c r="C61" s="617"/>
      <c r="D61" s="617"/>
      <c r="E61" s="617"/>
      <c r="F61" s="617"/>
      <c r="G61" s="617"/>
      <c r="H61" s="617"/>
      <c r="I61" s="617"/>
      <c r="J61" s="617"/>
      <c r="K61" s="617"/>
    </row>
    <row r="62" spans="1:11">
      <c r="A62" s="505"/>
      <c r="B62" s="377"/>
      <c r="C62" s="377"/>
      <c r="D62" s="377"/>
      <c r="E62" s="377"/>
      <c r="F62" s="377"/>
      <c r="G62" s="377"/>
      <c r="H62" s="377"/>
      <c r="I62" s="377"/>
      <c r="J62" s="377"/>
      <c r="K62" s="377"/>
    </row>
    <row r="63" spans="1:11">
      <c r="B63" s="94" t="s">
        <v>24</v>
      </c>
      <c r="C63" s="506" t="s">
        <v>484</v>
      </c>
      <c r="D63" s="124">
        <v>0.6</v>
      </c>
      <c r="E63" s="125">
        <v>0.6</v>
      </c>
      <c r="F63" s="125">
        <v>0.6</v>
      </c>
      <c r="G63" s="125">
        <v>0.6</v>
      </c>
      <c r="H63" s="125">
        <v>0.6</v>
      </c>
      <c r="I63" s="377"/>
      <c r="K63" s="384"/>
    </row>
    <row r="64" spans="1:11">
      <c r="B64" s="94" t="s">
        <v>681</v>
      </c>
      <c r="C64" s="506" t="s">
        <v>484</v>
      </c>
      <c r="D64" s="125">
        <v>0.69875824123206232</v>
      </c>
      <c r="E64" s="125">
        <v>0.66905016969694542</v>
      </c>
      <c r="F64" s="125">
        <v>0.65521346605810227</v>
      </c>
      <c r="G64" s="125">
        <v>0.67131271317073415</v>
      </c>
      <c r="H64" s="125">
        <v>0.68335567696932731</v>
      </c>
      <c r="I64" s="377"/>
      <c r="K64" s="384"/>
    </row>
    <row r="65" spans="2:12">
      <c r="B65" s="94"/>
      <c r="C65" s="506"/>
      <c r="D65" s="506"/>
      <c r="E65" s="506"/>
      <c r="F65" s="506"/>
      <c r="G65" s="506"/>
      <c r="H65" s="506"/>
      <c r="I65" s="377"/>
      <c r="K65" s="384"/>
    </row>
    <row r="66" spans="2:12">
      <c r="B66" s="94" t="s">
        <v>682</v>
      </c>
      <c r="C66" s="29" t="s">
        <v>520</v>
      </c>
      <c r="D66" s="18">
        <v>14.556384441158173</v>
      </c>
      <c r="E66" s="19">
        <v>-68.455887165061597</v>
      </c>
      <c r="F66" s="19">
        <v>-19.586415912624631</v>
      </c>
      <c r="G66" s="19">
        <v>44.715054808056664</v>
      </c>
      <c r="H66" s="19">
        <v>91.447373667350547</v>
      </c>
    </row>
    <row r="67" spans="2:12">
      <c r="B67" s="94" t="s">
        <v>683</v>
      </c>
      <c r="C67" s="29" t="s">
        <v>520</v>
      </c>
      <c r="D67" s="18">
        <v>-2.0573108713133781</v>
      </c>
      <c r="E67" s="18">
        <v>7.0650764914140236</v>
      </c>
      <c r="F67" s="18">
        <v>1.6505062337892737</v>
      </c>
      <c r="G67" s="18">
        <v>-4.7500245643785561</v>
      </c>
      <c r="H67" s="18">
        <v>-11.154744148633434</v>
      </c>
      <c r="K67" s="384"/>
    </row>
    <row r="68" spans="2:12">
      <c r="B68" s="94" t="s">
        <v>684</v>
      </c>
      <c r="C68" s="29" t="s">
        <v>520</v>
      </c>
      <c r="D68" s="21">
        <v>12.499073569844795</v>
      </c>
      <c r="E68" s="22">
        <v>-61.390810673647572</v>
      </c>
      <c r="F68" s="22">
        <v>-17.935909678835358</v>
      </c>
      <c r="G68" s="22">
        <v>39.965030243678108</v>
      </c>
      <c r="H68" s="22">
        <v>80.292629518717121</v>
      </c>
    </row>
    <row r="69" spans="2:12">
      <c r="B69" s="94"/>
      <c r="C69" s="29"/>
      <c r="D69" s="29"/>
      <c r="E69" s="29"/>
      <c r="F69" s="29"/>
      <c r="G69" s="29"/>
      <c r="H69" s="29"/>
      <c r="I69" s="29"/>
      <c r="J69" s="29"/>
      <c r="K69" s="29"/>
      <c r="L69" s="29"/>
    </row>
    <row r="70" spans="2:12">
      <c r="B70" s="92" t="s">
        <v>684</v>
      </c>
      <c r="C70" s="513" t="str">
        <f>Data!$C$9</f>
        <v>£m 18/19</v>
      </c>
      <c r="D70" s="26">
        <v>11.522182280194359</v>
      </c>
      <c r="E70" s="27">
        <v>-52.027706186423224</v>
      </c>
      <c r="F70" s="27">
        <v>-14.401549805518</v>
      </c>
      <c r="G70" s="27">
        <v>31.366022438796772</v>
      </c>
      <c r="H70" s="27">
        <v>62.062360711854375</v>
      </c>
      <c r="I70" s="630">
        <v>-54.907073711746868</v>
      </c>
      <c r="J70" s="631">
        <v>38.521309438904282</v>
      </c>
    </row>
    <row r="71" spans="2:12">
      <c r="B71" s="94" t="s">
        <v>685</v>
      </c>
      <c r="C71" s="506" t="str">
        <f>Data!$C$9</f>
        <v>£m 18/19</v>
      </c>
      <c r="D71" s="18">
        <v>1.2587080025169384</v>
      </c>
      <c r="E71" s="18">
        <v>0.9372283750149577</v>
      </c>
      <c r="F71" s="18">
        <v>0.952523065269959</v>
      </c>
      <c r="G71" s="18">
        <v>-1.200725514531485</v>
      </c>
      <c r="H71" s="18">
        <v>-1.1604590889898236</v>
      </c>
      <c r="I71" s="632">
        <v>3.1484594428018551</v>
      </c>
      <c r="J71" s="633">
        <v>0.78727483928054642</v>
      </c>
      <c r="K71" s="506"/>
    </row>
    <row r="72" spans="2:12"/>
    <row r="73" spans="2:12">
      <c r="B73" s="618" t="s">
        <v>686</v>
      </c>
      <c r="C73" s="619"/>
      <c r="D73" s="619"/>
      <c r="E73" s="619"/>
      <c r="F73" s="619"/>
      <c r="G73" s="619"/>
      <c r="H73" s="619"/>
      <c r="I73" s="619"/>
      <c r="J73" s="619"/>
      <c r="K73" s="619"/>
      <c r="L73" s="506"/>
    </row>
    <row r="74" spans="2:12">
      <c r="B74" s="529"/>
      <c r="C74" s="506"/>
      <c r="D74" s="506"/>
      <c r="E74" s="506"/>
      <c r="F74" s="506"/>
      <c r="G74" s="506"/>
      <c r="H74" s="506"/>
      <c r="I74" s="506"/>
      <c r="J74" s="506"/>
      <c r="K74" s="506"/>
      <c r="L74" s="506"/>
    </row>
    <row r="75" spans="2:12">
      <c r="B75" s="616" t="s">
        <v>687</v>
      </c>
      <c r="C75" s="620"/>
      <c r="D75" s="620"/>
      <c r="E75" s="620"/>
      <c r="F75" s="620"/>
      <c r="G75" s="620"/>
      <c r="H75" s="620"/>
      <c r="I75" s="620"/>
      <c r="J75" s="620"/>
      <c r="K75" s="620"/>
      <c r="L75" s="506"/>
    </row>
    <row r="76" spans="2:12">
      <c r="B76" s="621"/>
      <c r="C76" s="621"/>
      <c r="D76" s="621"/>
      <c r="E76" s="621"/>
      <c r="F76" s="621"/>
      <c r="G76" s="621"/>
      <c r="H76" s="621"/>
      <c r="I76" s="621"/>
      <c r="J76" s="621"/>
      <c r="K76" s="621"/>
      <c r="L76" s="506"/>
    </row>
    <row r="77" spans="2:12">
      <c r="B77" s="94" t="s">
        <v>688</v>
      </c>
      <c r="C77" s="506" t="str">
        <f>Data!$C$9</f>
        <v>£m 18/19</v>
      </c>
      <c r="D77" s="558">
        <v>47.111040308687421</v>
      </c>
      <c r="E77" s="558">
        <v>43.782551351051858</v>
      </c>
      <c r="F77" s="558">
        <v>44.325072704214747</v>
      </c>
      <c r="G77" s="558">
        <v>49.095760954865185</v>
      </c>
      <c r="H77" s="558">
        <v>53.917904091733099</v>
      </c>
      <c r="I77" s="621"/>
      <c r="J77" s="622"/>
      <c r="L77" s="506"/>
    </row>
    <row r="78" spans="2:12">
      <c r="B78" s="94"/>
      <c r="C78" s="506"/>
      <c r="D78" s="623"/>
      <c r="E78" s="623"/>
      <c r="F78" s="623"/>
      <c r="G78" s="623"/>
      <c r="H78" s="623"/>
      <c r="I78" s="621"/>
      <c r="J78" s="609"/>
      <c r="L78" s="506"/>
    </row>
    <row r="79" spans="2:12">
      <c r="B79" s="94"/>
      <c r="C79" s="506"/>
      <c r="D79" s="623"/>
      <c r="E79" s="624"/>
      <c r="F79" s="624"/>
      <c r="G79" s="624"/>
      <c r="H79" s="624"/>
      <c r="I79" s="609"/>
      <c r="J79" s="609"/>
      <c r="L79" s="506"/>
    </row>
    <row r="80" spans="2:12">
      <c r="B80" s="625" t="s">
        <v>689</v>
      </c>
      <c r="C80" s="619"/>
      <c r="D80" s="619"/>
      <c r="E80" s="619"/>
      <c r="F80" s="619"/>
      <c r="G80" s="619"/>
      <c r="H80" s="619"/>
      <c r="I80" s="619"/>
      <c r="J80" s="619"/>
      <c r="K80" s="619"/>
    </row>
    <row r="81" spans="2:11">
      <c r="B81" s="616" t="s">
        <v>690</v>
      </c>
      <c r="C81" s="617"/>
      <c r="D81" s="617"/>
      <c r="E81" s="617"/>
      <c r="F81" s="617"/>
      <c r="G81" s="617"/>
      <c r="H81" s="617"/>
      <c r="I81" s="617"/>
      <c r="J81" s="617"/>
      <c r="K81" s="617"/>
    </row>
    <row r="82" spans="2:11" ht="24.65" customHeight="1">
      <c r="B82" s="599" t="s">
        <v>691</v>
      </c>
      <c r="C82" s="506"/>
      <c r="D82" s="506"/>
      <c r="E82" s="506"/>
      <c r="F82" s="506"/>
      <c r="G82" s="506"/>
      <c r="H82" s="506"/>
      <c r="I82" s="506"/>
      <c r="J82" s="506"/>
      <c r="K82" s="506"/>
    </row>
    <row r="83" spans="2:11">
      <c r="B83" s="94" t="s">
        <v>692</v>
      </c>
      <c r="C83" s="506" t="str">
        <f>Data!$C$9</f>
        <v>£m 18/19</v>
      </c>
      <c r="D83" s="26">
        <v>32.226452949808582</v>
      </c>
      <c r="E83" s="26">
        <v>100.75270610041973</v>
      </c>
      <c r="F83" s="26">
        <v>59.011711746858111</v>
      </c>
      <c r="G83" s="26">
        <v>15.345182085149629</v>
      </c>
      <c r="H83" s="26">
        <v>-15.444862928620186</v>
      </c>
      <c r="I83" s="630">
        <v>191.99087079708642</v>
      </c>
      <c r="J83" s="631">
        <v>191.89118995361585</v>
      </c>
      <c r="K83" s="506"/>
    </row>
    <row r="84" spans="2:11">
      <c r="B84" s="94"/>
      <c r="K84" s="506"/>
    </row>
    <row r="85" spans="2:11">
      <c r="B85" s="94" t="s">
        <v>693</v>
      </c>
      <c r="C85" s="506" t="str">
        <f>Data!$C$9</f>
        <v>£m 18/19</v>
      </c>
      <c r="D85" s="26">
        <v>34.330150025976124</v>
      </c>
      <c r="E85" s="26">
        <v>94.873029162460128</v>
      </c>
      <c r="F85" s="26">
        <v>57.774099444462792</v>
      </c>
      <c r="G85" s="26">
        <v>18.930464030599897</v>
      </c>
      <c r="H85" s="26">
        <v>-6.9839975311314513</v>
      </c>
      <c r="I85" s="630">
        <v>186.97727863289904</v>
      </c>
      <c r="J85" s="631">
        <v>198.92374513236749</v>
      </c>
      <c r="K85" s="506"/>
    </row>
    <row r="86" spans="2:11">
      <c r="B86" s="94"/>
      <c r="K86" s="506"/>
    </row>
    <row r="87" spans="2:11">
      <c r="B87" s="94" t="s">
        <v>694</v>
      </c>
      <c r="C87" s="506" t="str">
        <f>Data!$C$9</f>
        <v>£m 18/19</v>
      </c>
      <c r="D87" s="26">
        <v>-2.103697076167542</v>
      </c>
      <c r="E87" s="26">
        <v>5.8796769379596014</v>
      </c>
      <c r="F87" s="26">
        <v>1.2376123023953198</v>
      </c>
      <c r="G87" s="26">
        <v>-3.5852819454502676</v>
      </c>
      <c r="H87" s="26">
        <v>-8.4608653974887353</v>
      </c>
      <c r="I87" s="630">
        <v>5.0135921641873793</v>
      </c>
      <c r="J87" s="631">
        <v>-7.0325551787516236</v>
      </c>
      <c r="K87" s="506"/>
    </row>
    <row r="88" spans="2:11">
      <c r="K88" s="506"/>
    </row>
    <row r="89" spans="2:11">
      <c r="K89" s="506"/>
    </row>
    <row r="90" spans="2:11">
      <c r="K90" s="506"/>
    </row>
    <row r="91" spans="2:11">
      <c r="K91" s="506"/>
    </row>
    <row r="92" spans="2:11"/>
    <row r="93" spans="2:11"/>
    <row r="94" spans="2:11"/>
    <row r="95" spans="2:11"/>
    <row r="96" spans="2:11"/>
    <row r="97"/>
    <row r="98"/>
    <row r="99"/>
    <row r="100"/>
  </sheetData>
  <sheetProtection insertRows="0" sort="0" autoFilter="0" pivotTables="0"/>
  <conditionalFormatting sqref="D48">
    <cfRule type="expression" dxfId="49" priority="5">
      <formula>D$5="Forecast"</formula>
    </cfRule>
    <cfRule type="expression" dxfId="48" priority="6">
      <formula>C$12="N/A"</formula>
    </cfRule>
  </conditionalFormatting>
  <conditionalFormatting sqref="D30:F30">
    <cfRule type="expression" dxfId="47" priority="2">
      <formula>D$5="Actuals"</formula>
    </cfRule>
  </conditionalFormatting>
  <conditionalFormatting sqref="G30:H30">
    <cfRule type="expression" dxfId="46" priority="1">
      <formula>G$5="Actuals"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Normal="100" workbookViewId="0"/>
  </sheetViews>
  <sheetFormatPr defaultColWidth="0" defaultRowHeight="13.5" zeroHeight="1" outlineLevelRow="1" outlineLevelCol="1"/>
  <cols>
    <col min="1" max="1" width="9.3828125" style="136" customWidth="1"/>
    <col min="2" max="2" width="5.3828125" style="136" customWidth="1"/>
    <col min="3" max="3" width="13.15234375" style="136" customWidth="1"/>
    <col min="4" max="4" width="16.3828125" style="136" customWidth="1"/>
    <col min="5" max="5" width="17.15234375" style="136" customWidth="1"/>
    <col min="6" max="6" width="16.61328125" style="136" customWidth="1"/>
    <col min="7" max="7" width="6" style="136" customWidth="1"/>
    <col min="8" max="8" width="7.4609375" style="136" customWidth="1"/>
    <col min="9" max="9" width="14.765625" style="136" customWidth="1"/>
    <col min="10" max="11" width="2.84375" style="136" customWidth="1"/>
    <col min="12" max="12" width="9.15234375" style="136" customWidth="1"/>
    <col min="13" max="20" width="10.84375" style="136" customWidth="1" outlineLevel="1"/>
    <col min="21" max="21" width="10.84375" style="136" customWidth="1"/>
    <col min="22" max="22" width="10.84375" style="136" customWidth="1" outlineLevel="1"/>
    <col min="23" max="23" width="5" style="136" customWidth="1"/>
    <col min="24" max="16373" width="0" style="136" hidden="1"/>
    <col min="16374" max="16384" width="9.15234375" style="136" hidden="1"/>
  </cols>
  <sheetData>
    <row r="1" spans="1:34" ht="20">
      <c r="A1" s="362" t="s">
        <v>265</v>
      </c>
      <c r="B1" s="364"/>
      <c r="C1" s="364"/>
      <c r="D1" s="365"/>
      <c r="E1" s="365"/>
      <c r="F1" s="365"/>
      <c r="G1" s="365"/>
      <c r="H1" s="634"/>
      <c r="I1" s="634"/>
      <c r="J1" s="366"/>
      <c r="K1" s="366"/>
      <c r="L1" s="366"/>
      <c r="M1" s="366"/>
      <c r="N1" s="366"/>
      <c r="O1" s="366"/>
      <c r="P1" s="366"/>
      <c r="Q1" s="366"/>
      <c r="R1" s="366"/>
      <c r="S1" s="366"/>
      <c r="T1" s="366"/>
      <c r="U1" s="366"/>
      <c r="V1" s="366"/>
      <c r="W1" s="494"/>
    </row>
    <row r="2" spans="1:34" ht="20">
      <c r="A2" s="367" t="str">
        <f>Licensee</f>
        <v>SGN - Southern</v>
      </c>
      <c r="B2" s="369"/>
      <c r="C2" s="369"/>
      <c r="D2" s="370"/>
      <c r="E2" s="370"/>
      <c r="F2" s="370"/>
      <c r="G2" s="370"/>
      <c r="H2" s="371"/>
      <c r="I2" s="371"/>
      <c r="J2" s="371"/>
      <c r="K2" s="371"/>
      <c r="L2" s="371"/>
      <c r="M2" s="371"/>
      <c r="N2" s="371"/>
      <c r="O2" s="371"/>
      <c r="P2" s="371"/>
      <c r="Q2" s="371"/>
      <c r="R2" s="371"/>
      <c r="S2" s="371"/>
      <c r="T2" s="371"/>
      <c r="U2" s="371"/>
      <c r="V2" s="371"/>
      <c r="W2" s="372"/>
    </row>
    <row r="3" spans="1:34" ht="20">
      <c r="A3" s="590">
        <f>Reporting_Year</f>
        <v>2024</v>
      </c>
      <c r="B3" s="591"/>
      <c r="C3" s="635"/>
      <c r="D3" s="635"/>
      <c r="E3" s="635"/>
      <c r="F3" s="635"/>
      <c r="G3" s="373"/>
      <c r="H3" s="374"/>
      <c r="I3" s="374"/>
      <c r="J3" s="374"/>
      <c r="K3" s="374"/>
      <c r="L3" s="374"/>
      <c r="M3" s="374"/>
      <c r="N3" s="374"/>
      <c r="O3" s="374"/>
      <c r="P3" s="374"/>
      <c r="Q3" s="374"/>
      <c r="R3" s="374"/>
      <c r="S3" s="374"/>
      <c r="T3" s="374"/>
      <c r="U3" s="374"/>
      <c r="V3" s="374"/>
      <c r="W3" s="375"/>
    </row>
    <row r="4" spans="1:34" s="50" customFormat="1" ht="16">
      <c r="A4" s="309"/>
      <c r="B4" s="584" t="s">
        <v>695</v>
      </c>
      <c r="C4" s="180"/>
      <c r="D4" s="636"/>
      <c r="E4" s="181"/>
      <c r="F4" s="181"/>
      <c r="G4" s="181"/>
      <c r="H4" s="181"/>
      <c r="I4" s="181"/>
      <c r="J4" s="181"/>
      <c r="K4" s="181"/>
      <c r="L4" s="182"/>
      <c r="M4" s="182"/>
      <c r="N4" s="182"/>
      <c r="O4" s="182"/>
      <c r="P4" s="182"/>
      <c r="Q4" s="182"/>
      <c r="R4" s="182"/>
      <c r="S4" s="182"/>
      <c r="T4" s="182"/>
      <c r="U4" s="182"/>
      <c r="V4" s="52"/>
      <c r="W4" s="52"/>
    </row>
    <row r="5" spans="1:34" s="637" customFormat="1" ht="16">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row>
    <row r="6" spans="1:34" s="637" customFormat="1" ht="16">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row>
    <row r="7" spans="1:34" s="51" customFormat="1" ht="15">
      <c r="A7" s="309"/>
      <c r="B7" s="309" t="s">
        <v>520</v>
      </c>
      <c r="C7" s="52"/>
      <c r="D7" s="309"/>
      <c r="E7" s="308"/>
      <c r="F7" s="308"/>
      <c r="G7" s="308"/>
      <c r="H7" s="308"/>
      <c r="I7" s="308"/>
      <c r="J7" s="308"/>
      <c r="K7" s="308"/>
      <c r="L7" s="308"/>
      <c r="M7" s="1428" t="s">
        <v>696</v>
      </c>
      <c r="N7" s="1429"/>
      <c r="O7" s="1429"/>
      <c r="P7" s="1429"/>
      <c r="Q7" s="1430"/>
      <c r="R7" s="1431" t="s">
        <v>697</v>
      </c>
      <c r="S7" s="1432"/>
      <c r="T7" s="1433"/>
      <c r="U7" s="1432"/>
      <c r="V7" s="1434"/>
      <c r="W7" s="308"/>
    </row>
    <row r="8" spans="1:34" s="50" customFormat="1" ht="15">
      <c r="A8" s="52"/>
      <c r="B8" s="639"/>
      <c r="C8" s="640"/>
      <c r="D8" s="641"/>
      <c r="E8" s="641"/>
      <c r="F8" s="641"/>
      <c r="G8" s="641"/>
      <c r="H8" s="641"/>
      <c r="I8" s="641"/>
      <c r="J8" s="641"/>
      <c r="K8" s="641"/>
      <c r="L8" s="641"/>
      <c r="M8" s="642" t="str">
        <f t="shared" ref="M8:V8" si="0">IF(M9&lt;=Reporting_Year,"Actuals","Forecast")</f>
        <v>Actuals</v>
      </c>
      <c r="N8" s="643" t="str">
        <f t="shared" si="0"/>
        <v>Actuals</v>
      </c>
      <c r="O8" s="643" t="str">
        <f t="shared" si="0"/>
        <v>Actuals</v>
      </c>
      <c r="P8" s="643" t="str">
        <f t="shared" si="0"/>
        <v>Forecast</v>
      </c>
      <c r="Q8" s="643" t="str">
        <f t="shared" si="0"/>
        <v>Forecast</v>
      </c>
      <c r="R8" s="643" t="str">
        <f t="shared" si="0"/>
        <v>Forecast</v>
      </c>
      <c r="S8" s="643" t="str">
        <f t="shared" si="0"/>
        <v>Forecast</v>
      </c>
      <c r="T8" s="644" t="str">
        <f t="shared" si="0"/>
        <v>Forecast</v>
      </c>
      <c r="U8" s="645" t="str">
        <f t="shared" si="0"/>
        <v>Forecast</v>
      </c>
      <c r="V8" s="645" t="str">
        <f t="shared" si="0"/>
        <v>Forecast</v>
      </c>
      <c r="W8" s="52"/>
    </row>
    <row r="9" spans="1:34" s="50" customFormat="1" ht="15">
      <c r="A9" s="641"/>
      <c r="B9" s="641"/>
      <c r="C9" s="641" t="s">
        <v>698</v>
      </c>
      <c r="D9" s="641"/>
      <c r="E9" s="641"/>
      <c r="F9" s="641"/>
      <c r="G9" s="641"/>
      <c r="H9" s="646">
        <f>RIIO_2_start_date - 2022</f>
        <v>0</v>
      </c>
      <c r="I9" s="641"/>
      <c r="J9" s="641"/>
      <c r="K9" s="641"/>
      <c r="L9" s="647" t="s">
        <v>699</v>
      </c>
      <c r="M9" s="648">
        <f>'RFPR cover'!$C$6</f>
        <v>2022</v>
      </c>
      <c r="N9" s="649">
        <f>M9+1</f>
        <v>2023</v>
      </c>
      <c r="O9" s="649">
        <f t="shared" ref="O9:T9" si="1">N9+1</f>
        <v>2024</v>
      </c>
      <c r="P9" s="649">
        <f t="shared" si="1"/>
        <v>2025</v>
      </c>
      <c r="Q9" s="649">
        <f t="shared" si="1"/>
        <v>2026</v>
      </c>
      <c r="R9" s="649">
        <f t="shared" si="1"/>
        <v>2027</v>
      </c>
      <c r="S9" s="650">
        <f t="shared" si="1"/>
        <v>2028</v>
      </c>
      <c r="T9" s="651">
        <f t="shared" si="1"/>
        <v>2029</v>
      </c>
      <c r="U9" s="652">
        <f>T9+1</f>
        <v>2030</v>
      </c>
      <c r="V9" s="649">
        <f>U9+1</f>
        <v>2031</v>
      </c>
      <c r="W9" s="52"/>
    </row>
    <row r="10" spans="1:34" s="641" customFormat="1">
      <c r="O10" s="653"/>
      <c r="P10" s="653"/>
      <c r="Q10" s="653"/>
      <c r="R10" s="653"/>
      <c r="S10" s="653"/>
      <c r="T10" s="654"/>
      <c r="U10" s="655"/>
      <c r="V10" s="653"/>
    </row>
    <row r="11" spans="1:34" s="641" customFormat="1" ht="15">
      <c r="B11" s="656" t="s">
        <v>700</v>
      </c>
      <c r="C11" s="657"/>
      <c r="D11" s="657"/>
      <c r="E11" s="658"/>
      <c r="F11" s="658"/>
      <c r="G11" s="657"/>
      <c r="H11" s="657"/>
      <c r="I11" s="657"/>
      <c r="J11" s="657"/>
      <c r="K11" s="657"/>
      <c r="L11" s="657"/>
      <c r="M11" s="657"/>
      <c r="N11" s="657"/>
      <c r="O11" s="657"/>
      <c r="P11" s="657"/>
      <c r="Q11" s="657"/>
      <c r="R11" s="657"/>
      <c r="S11" s="657"/>
      <c r="T11" s="659"/>
      <c r="U11" s="657"/>
      <c r="V11" s="657"/>
    </row>
    <row r="12" spans="1:34" s="641" customFormat="1" ht="14">
      <c r="B12" s="660"/>
      <c r="C12" s="661"/>
      <c r="D12" s="662"/>
      <c r="E12" s="662"/>
      <c r="F12" s="662"/>
      <c r="G12" s="662"/>
      <c r="H12" s="662"/>
      <c r="I12" s="640" t="s">
        <v>701</v>
      </c>
      <c r="J12" s="662"/>
      <c r="K12" s="662"/>
      <c r="L12" s="662"/>
      <c r="M12" s="662"/>
      <c r="N12" s="662"/>
      <c r="O12" s="662"/>
      <c r="P12" s="662"/>
      <c r="Q12" s="662"/>
      <c r="R12" s="662"/>
      <c r="S12" s="662"/>
      <c r="T12" s="663"/>
      <c r="U12" s="662"/>
      <c r="V12" s="662"/>
    </row>
    <row r="13" spans="1:34" s="641" customFormat="1" outlineLevel="1">
      <c r="B13" s="664" t="str">
        <f>'R6a - Net Debt input'!B32</f>
        <v>B.</v>
      </c>
      <c r="C13" s="664" t="str">
        <f>'R6a - Net Debt input'!D32</f>
        <v>Bonds</v>
      </c>
      <c r="D13" s="665"/>
      <c r="E13" s="664"/>
      <c r="F13" s="664"/>
      <c r="I13" s="665" t="str">
        <f>'R6a - Net Debt input'!L32</f>
        <v>Bond</v>
      </c>
      <c r="L13" s="666" t="s">
        <v>602</v>
      </c>
      <c r="M13" s="743">
        <v>118.7808846694796</v>
      </c>
      <c r="N13" s="744">
        <v>161.36196413502108</v>
      </c>
      <c r="O13" s="744">
        <v>153.56007159889651</v>
      </c>
      <c r="P13" s="744">
        <v>122.11657850410663</v>
      </c>
      <c r="Q13" s="744">
        <v>100.95765278342532</v>
      </c>
      <c r="R13" s="744">
        <v>91.586882656122498</v>
      </c>
      <c r="S13" s="745">
        <v>92.492500379405627</v>
      </c>
      <c r="T13" s="746">
        <v>92.245849953552323</v>
      </c>
      <c r="U13" s="747">
        <v>74.765440402511402</v>
      </c>
      <c r="V13" s="744">
        <v>75.055066114586793</v>
      </c>
    </row>
    <row r="14" spans="1:34" s="641" customFormat="1" outlineLevel="1">
      <c r="B14" s="664" t="str">
        <f>'R6a - Net Debt input'!B33</f>
        <v>C.</v>
      </c>
      <c r="C14" s="664" t="str">
        <f>'R6a - Net Debt input'!D33</f>
        <v>External Loans</v>
      </c>
      <c r="D14" s="665"/>
      <c r="E14" s="664"/>
      <c r="F14" s="664"/>
      <c r="I14" s="665" t="str">
        <f>'R6a - Net Debt input'!L33</f>
        <v>External Loan</v>
      </c>
      <c r="L14" s="666" t="s">
        <v>602</v>
      </c>
      <c r="M14" s="743">
        <v>4.7245180562859153</v>
      </c>
      <c r="N14" s="744">
        <v>12.851940186036982</v>
      </c>
      <c r="O14" s="744">
        <v>12.810488404059598</v>
      </c>
      <c r="P14" s="744">
        <v>1.576217585915046</v>
      </c>
      <c r="Q14" s="744">
        <v>1.3219156753485544</v>
      </c>
      <c r="R14" s="744">
        <v>1.4838582474878121</v>
      </c>
      <c r="S14" s="745">
        <v>1.6474137517163958</v>
      </c>
      <c r="T14" s="746">
        <v>0.44994119516853681</v>
      </c>
      <c r="U14" s="747">
        <v>0</v>
      </c>
      <c r="V14" s="744">
        <v>0</v>
      </c>
    </row>
    <row r="15" spans="1:34" s="641" customFormat="1" outlineLevel="1">
      <c r="B15" s="664" t="str">
        <f>'R6a - Net Debt input'!B34</f>
        <v>D.</v>
      </c>
      <c r="C15" s="664" t="str">
        <f>'R6a - Net Debt input'!D34</f>
        <v>Private Placements</v>
      </c>
      <c r="D15" s="665"/>
      <c r="E15" s="664"/>
      <c r="F15" s="664"/>
      <c r="H15" s="667"/>
      <c r="I15" s="665" t="str">
        <f>'R6a - Net Debt input'!L34</f>
        <v>Private Placement</v>
      </c>
      <c r="L15" s="666" t="s">
        <v>602</v>
      </c>
      <c r="M15" s="743">
        <v>6.4774999999999974</v>
      </c>
      <c r="N15" s="744">
        <v>6.7794720457166484</v>
      </c>
      <c r="O15" s="744">
        <v>13.043579999999993</v>
      </c>
      <c r="P15" s="744">
        <v>30.768549781878765</v>
      </c>
      <c r="Q15" s="744">
        <v>31.94545999999999</v>
      </c>
      <c r="R15" s="744">
        <v>31.94545999999999</v>
      </c>
      <c r="S15" s="745">
        <v>31.94545999999999</v>
      </c>
      <c r="T15" s="746">
        <v>31.94545999999999</v>
      </c>
      <c r="U15" s="747">
        <v>31.94545999999999</v>
      </c>
      <c r="V15" s="744">
        <v>30.888187220834439</v>
      </c>
    </row>
    <row r="16" spans="1:34" s="641" customFormat="1" outlineLevel="1">
      <c r="B16" s="664" t="str">
        <f>'R6a - Net Debt input'!B35</f>
        <v>E.</v>
      </c>
      <c r="C16" s="664" t="str">
        <f>'R6a - Net Debt input'!D35</f>
        <v>Group company loans (licensee lender)</v>
      </c>
      <c r="D16" s="665"/>
      <c r="E16" s="664"/>
      <c r="F16" s="664"/>
      <c r="I16" s="665" t="str">
        <f>'R6a - Net Debt input'!L35</f>
        <v>Group company loan (licensee lender)</v>
      </c>
      <c r="L16" s="666" t="s">
        <v>602</v>
      </c>
      <c r="M16" s="743">
        <v>0</v>
      </c>
      <c r="N16" s="744">
        <v>0</v>
      </c>
      <c r="O16" s="744">
        <v>0</v>
      </c>
      <c r="P16" s="744">
        <v>0</v>
      </c>
      <c r="Q16" s="744">
        <v>0</v>
      </c>
      <c r="R16" s="744">
        <v>0</v>
      </c>
      <c r="S16" s="745">
        <v>0</v>
      </c>
      <c r="T16" s="746">
        <v>0</v>
      </c>
      <c r="U16" s="747">
        <v>0</v>
      </c>
      <c r="V16" s="744">
        <v>0</v>
      </c>
    </row>
    <row r="17" spans="2:29" s="641" customFormat="1" outlineLevel="1">
      <c r="B17" s="664" t="str">
        <f>'R6a - Net Debt input'!B36</f>
        <v>F.</v>
      </c>
      <c r="C17" s="664" t="str">
        <f>'R6a - Net Debt input'!D36</f>
        <v>Group company loans (licensee borrower)</v>
      </c>
      <c r="D17" s="665"/>
      <c r="E17" s="664"/>
      <c r="F17" s="664"/>
      <c r="I17" s="665" t="str">
        <f>'R6a - Net Debt input'!L36</f>
        <v>Group company loan (licensee borrower)</v>
      </c>
      <c r="L17" s="666" t="s">
        <v>602</v>
      </c>
      <c r="M17" s="743">
        <v>0</v>
      </c>
      <c r="N17" s="744">
        <v>0</v>
      </c>
      <c r="O17" s="744">
        <v>0</v>
      </c>
      <c r="P17" s="744">
        <v>0</v>
      </c>
      <c r="Q17" s="744">
        <v>0</v>
      </c>
      <c r="R17" s="744">
        <v>0</v>
      </c>
      <c r="S17" s="745">
        <v>0</v>
      </c>
      <c r="T17" s="746">
        <v>0</v>
      </c>
      <c r="U17" s="747">
        <v>0</v>
      </c>
      <c r="V17" s="744">
        <v>0</v>
      </c>
    </row>
    <row r="18" spans="2:29" s="641" customFormat="1" outlineLevel="1">
      <c r="B18" s="664" t="str">
        <f>'R6a - Net Debt input'!B37</f>
        <v>G.</v>
      </c>
      <c r="C18" s="664" t="str">
        <f>'R6a - Net Debt input'!D37</f>
        <v>Group Loans from Finco back to back with finco bond issue</v>
      </c>
      <c r="D18" s="665"/>
      <c r="E18" s="664"/>
      <c r="F18" s="664"/>
      <c r="I18" s="665" t="str">
        <f>'R6a - Net Debt input'!L37</f>
        <v>Group Loan from Finco back to back with finco bond issue</v>
      </c>
      <c r="L18" s="666" t="s">
        <v>602</v>
      </c>
      <c r="M18" s="743">
        <v>0</v>
      </c>
      <c r="N18" s="744">
        <v>0</v>
      </c>
      <c r="O18" s="744">
        <v>0</v>
      </c>
      <c r="P18" s="744">
        <v>0</v>
      </c>
      <c r="Q18" s="744">
        <v>0</v>
      </c>
      <c r="R18" s="744">
        <v>0</v>
      </c>
      <c r="S18" s="745">
        <v>0</v>
      </c>
      <c r="T18" s="746">
        <v>0</v>
      </c>
      <c r="U18" s="747">
        <v>0</v>
      </c>
      <c r="V18" s="744">
        <v>0</v>
      </c>
    </row>
    <row r="19" spans="2:29" s="641" customFormat="1">
      <c r="B19" s="664" t="str">
        <f>'R6a - Net Debt input'!B38</f>
        <v>H.</v>
      </c>
      <c r="C19" s="664" t="str">
        <f>'R6a - Net Debt input'!D38</f>
        <v>Swaps Pay Leg</v>
      </c>
      <c r="D19" s="665"/>
      <c r="E19" s="664"/>
      <c r="F19" s="668"/>
      <c r="G19" s="667"/>
      <c r="H19" s="667"/>
      <c r="I19" s="665" t="str">
        <f>'R6a - Net Debt input'!L38</f>
        <v>Swap Pay Leg</v>
      </c>
      <c r="L19" s="666" t="s">
        <v>602</v>
      </c>
      <c r="M19" s="748">
        <v>26.112232501102202</v>
      </c>
      <c r="N19" s="749">
        <v>46.176840099864691</v>
      </c>
      <c r="O19" s="749">
        <v>24.127117486257816</v>
      </c>
      <c r="P19" s="749">
        <v>17.53319253517428</v>
      </c>
      <c r="Q19" s="749">
        <v>10.551471286270594</v>
      </c>
      <c r="R19" s="749">
        <v>12.602465506372091</v>
      </c>
      <c r="S19" s="750">
        <v>13.55108721776509</v>
      </c>
      <c r="T19" s="751">
        <v>13.677262929535514</v>
      </c>
      <c r="U19" s="752">
        <v>13.805962155541343</v>
      </c>
      <c r="V19" s="749">
        <v>12.915236243422655</v>
      </c>
    </row>
    <row r="20" spans="2:29" s="641" customFormat="1">
      <c r="B20" s="664" t="str">
        <f>'R6a - Net Debt input'!B39</f>
        <v>I.</v>
      </c>
      <c r="C20" s="664" t="str">
        <f>'R6a - Net Debt input'!D39</f>
        <v>Swaps Receive Leg</v>
      </c>
      <c r="D20" s="665"/>
      <c r="E20" s="664"/>
      <c r="F20" s="668"/>
      <c r="G20" s="667"/>
      <c r="H20" s="667"/>
      <c r="I20" s="665" t="str">
        <f>'R6a - Net Debt input'!L39</f>
        <v>Swap Receive Leg</v>
      </c>
      <c r="L20" s="666" t="s">
        <v>602</v>
      </c>
      <c r="M20" s="743">
        <v>-8.7853410808098094</v>
      </c>
      <c r="N20" s="744">
        <v>-11.144490165136508</v>
      </c>
      <c r="O20" s="744">
        <v>-17.40897398865598</v>
      </c>
      <c r="P20" s="744">
        <v>-17.40897398865598</v>
      </c>
      <c r="Q20" s="744">
        <v>-17.40897398865598</v>
      </c>
      <c r="R20" s="744">
        <v>-17.40897398865598</v>
      </c>
      <c r="S20" s="745">
        <v>-17.40897398865598</v>
      </c>
      <c r="T20" s="746">
        <v>-17.40897398865598</v>
      </c>
      <c r="U20" s="747">
        <v>-17.40897398865598</v>
      </c>
      <c r="V20" s="744">
        <v>-16.351701209490425</v>
      </c>
    </row>
    <row r="21" spans="2:29" s="641" customFormat="1">
      <c r="B21" s="664" t="str">
        <f>'R6a - Net Debt input'!B40</f>
        <v>J.</v>
      </c>
      <c r="C21" s="664" t="str">
        <f>'R6a - Net Debt input'!D40</f>
        <v>Other</v>
      </c>
      <c r="D21" s="665"/>
      <c r="E21" s="664"/>
      <c r="F21" s="668"/>
      <c r="G21" s="667"/>
      <c r="H21" s="667"/>
      <c r="I21" s="665" t="str">
        <f>'R6a - Net Debt input'!L40</f>
        <v>Other</v>
      </c>
      <c r="L21" s="666" t="s">
        <v>602</v>
      </c>
      <c r="M21" s="743">
        <v>0</v>
      </c>
      <c r="N21" s="744">
        <v>0</v>
      </c>
      <c r="O21" s="744">
        <v>0</v>
      </c>
      <c r="P21" s="744">
        <v>0</v>
      </c>
      <c r="Q21" s="744">
        <v>0</v>
      </c>
      <c r="R21" s="744">
        <v>0</v>
      </c>
      <c r="S21" s="745">
        <v>0</v>
      </c>
      <c r="T21" s="746">
        <v>0</v>
      </c>
      <c r="U21" s="747">
        <v>0</v>
      </c>
      <c r="V21" s="744">
        <v>0</v>
      </c>
    </row>
    <row r="22" spans="2:29" s="641" customFormat="1" outlineLevel="1">
      <c r="C22" s="669" t="s">
        <v>546</v>
      </c>
      <c r="M22" s="753" t="s">
        <v>1216</v>
      </c>
      <c r="N22" s="753" t="s">
        <v>1216</v>
      </c>
      <c r="O22" s="753" t="s">
        <v>1216</v>
      </c>
      <c r="P22" s="753" t="s">
        <v>1216</v>
      </c>
      <c r="Q22" s="753" t="s">
        <v>1216</v>
      </c>
      <c r="R22" s="753" t="s">
        <v>1216</v>
      </c>
      <c r="S22" s="753" t="s">
        <v>1216</v>
      </c>
      <c r="T22" s="754" t="s">
        <v>1216</v>
      </c>
      <c r="U22" s="753" t="s">
        <v>1216</v>
      </c>
      <c r="V22" s="753" t="s">
        <v>1216</v>
      </c>
      <c r="W22" s="53"/>
      <c r="X22" s="53"/>
      <c r="Y22" s="53"/>
      <c r="Z22" s="53"/>
      <c r="AA22" s="53"/>
      <c r="AB22" s="53"/>
      <c r="AC22" s="53"/>
    </row>
    <row r="23" spans="2:29" s="641" customFormat="1" outlineLevel="1">
      <c r="C23" s="669"/>
      <c r="T23" s="350"/>
      <c r="U23" s="53"/>
      <c r="V23" s="53"/>
      <c r="W23" s="53"/>
      <c r="X23" s="53"/>
      <c r="Y23" s="53"/>
      <c r="Z23" s="53"/>
      <c r="AA23" s="53"/>
      <c r="AB23" s="53"/>
      <c r="AC23" s="53"/>
    </row>
    <row r="24" spans="2:29" s="641" customFormat="1" ht="15">
      <c r="B24" s="656" t="s">
        <v>702</v>
      </c>
      <c r="C24" s="657"/>
      <c r="D24" s="657"/>
      <c r="E24" s="658"/>
      <c r="F24" s="658"/>
      <c r="G24" s="657"/>
      <c r="H24" s="657"/>
      <c r="I24" s="657"/>
      <c r="J24" s="657"/>
      <c r="K24" s="657"/>
      <c r="L24" s="657"/>
      <c r="M24" s="657"/>
      <c r="N24" s="657"/>
      <c r="O24" s="657"/>
      <c r="P24" s="657"/>
      <c r="Q24" s="657"/>
      <c r="R24" s="657"/>
      <c r="S24" s="657"/>
      <c r="T24" s="659"/>
      <c r="U24" s="657"/>
      <c r="V24" s="657"/>
    </row>
    <row r="25" spans="2:29" s="641" customFormat="1" ht="14">
      <c r="B25" s="660"/>
      <c r="C25" s="661"/>
      <c r="D25" s="662"/>
      <c r="E25" s="662"/>
      <c r="F25" s="662"/>
      <c r="G25" s="662"/>
      <c r="H25" s="662"/>
      <c r="I25" s="662"/>
      <c r="J25" s="662"/>
      <c r="K25" s="662"/>
      <c r="L25" s="662"/>
      <c r="M25" s="662"/>
      <c r="N25" s="662"/>
      <c r="O25" s="662"/>
      <c r="P25" s="662"/>
      <c r="Q25" s="662"/>
      <c r="R25" s="662"/>
      <c r="S25" s="662"/>
      <c r="T25" s="663"/>
      <c r="U25" s="662"/>
      <c r="V25" s="662"/>
    </row>
    <row r="26" spans="2:29" s="641" customFormat="1" outlineLevel="1">
      <c r="B26" s="664" t="str">
        <f t="shared" ref="B26:C34" si="2">B13</f>
        <v>B.</v>
      </c>
      <c r="C26" s="664" t="str">
        <f t="shared" si="2"/>
        <v>Bonds</v>
      </c>
      <c r="D26" s="664"/>
      <c r="E26" s="664"/>
      <c r="F26" s="640"/>
      <c r="L26" s="666" t="s">
        <v>602</v>
      </c>
      <c r="M26" s="1343">
        <v>83.747201529999998</v>
      </c>
      <c r="N26" s="671">
        <v>89.515170999999995</v>
      </c>
      <c r="O26" s="671">
        <v>109.34128300063884</v>
      </c>
      <c r="P26" s="671">
        <v>101.43299969547499</v>
      </c>
      <c r="Q26" s="671">
        <v>117.3661074986331</v>
      </c>
      <c r="R26" s="671">
        <v>128.06321711986917</v>
      </c>
      <c r="S26" s="671">
        <v>134.89918426870449</v>
      </c>
      <c r="T26" s="671">
        <v>141.77173009011875</v>
      </c>
      <c r="U26" s="671">
        <v>154.5457543548936</v>
      </c>
      <c r="V26" s="671">
        <v>166.10572719945191</v>
      </c>
    </row>
    <row r="27" spans="2:29" s="641" customFormat="1" outlineLevel="1">
      <c r="B27" s="664" t="str">
        <f t="shared" si="2"/>
        <v>C.</v>
      </c>
      <c r="C27" s="664" t="str">
        <f t="shared" si="2"/>
        <v>External Loans</v>
      </c>
      <c r="D27" s="664"/>
      <c r="E27" s="664"/>
      <c r="F27" s="640"/>
      <c r="L27" s="666" t="s">
        <v>602</v>
      </c>
      <c r="M27" s="670">
        <v>0.54940343000000003</v>
      </c>
      <c r="N27" s="671">
        <v>0.60107636999999992</v>
      </c>
      <c r="O27" s="671">
        <v>1.2312042349726777</v>
      </c>
      <c r="P27" s="671">
        <v>0.65200000000000002</v>
      </c>
      <c r="Q27" s="671">
        <v>0.65200000000000002</v>
      </c>
      <c r="R27" s="671">
        <v>0.65200000000000002</v>
      </c>
      <c r="S27" s="671">
        <v>0.32112499999999999</v>
      </c>
      <c r="T27" s="671">
        <v>0.32112499999999999</v>
      </c>
      <c r="U27" s="671">
        <v>0.32112499999999999</v>
      </c>
      <c r="V27" s="671">
        <v>0.32112499999999999</v>
      </c>
    </row>
    <row r="28" spans="2:29" s="641" customFormat="1" outlineLevel="1">
      <c r="B28" s="664" t="str">
        <f t="shared" si="2"/>
        <v>D.</v>
      </c>
      <c r="C28" s="664" t="str">
        <f t="shared" si="2"/>
        <v>Private Placements</v>
      </c>
      <c r="D28" s="664"/>
      <c r="E28" s="664"/>
      <c r="F28" s="640"/>
      <c r="L28" s="666" t="s">
        <v>602</v>
      </c>
      <c r="M28" s="670">
        <v>6.4774999999999991</v>
      </c>
      <c r="N28" s="671">
        <v>6.4774999999999991</v>
      </c>
      <c r="O28" s="671">
        <v>12.9046725</v>
      </c>
      <c r="P28" s="671">
        <v>13.580080619276481</v>
      </c>
      <c r="Q28" s="671">
        <v>13.903296926346494</v>
      </c>
      <c r="R28" s="671">
        <v>19.848051737752236</v>
      </c>
      <c r="S28" s="671">
        <v>21.524679622001322</v>
      </c>
      <c r="T28" s="671">
        <v>24.20853269958425</v>
      </c>
      <c r="U28" s="671">
        <v>25.567174989001995</v>
      </c>
      <c r="V28" s="671">
        <v>27.238098359892582</v>
      </c>
    </row>
    <row r="29" spans="2:29" s="641" customFormat="1" outlineLevel="1">
      <c r="B29" s="664" t="str">
        <f t="shared" si="2"/>
        <v>E.</v>
      </c>
      <c r="C29" s="664" t="str">
        <f t="shared" si="2"/>
        <v>Group company loans (licensee lender)</v>
      </c>
      <c r="D29" s="664"/>
      <c r="E29" s="664"/>
      <c r="F29" s="640"/>
      <c r="L29" s="666" t="s">
        <v>602</v>
      </c>
      <c r="M29" s="670">
        <v>0</v>
      </c>
      <c r="N29" s="671">
        <v>0</v>
      </c>
      <c r="O29" s="671">
        <v>0</v>
      </c>
      <c r="P29" s="671">
        <v>0</v>
      </c>
      <c r="Q29" s="671">
        <v>0</v>
      </c>
      <c r="R29" s="671">
        <v>0</v>
      </c>
      <c r="S29" s="671">
        <v>0</v>
      </c>
      <c r="T29" s="671">
        <v>0</v>
      </c>
      <c r="U29" s="671">
        <v>0</v>
      </c>
      <c r="V29" s="671">
        <v>0</v>
      </c>
    </row>
    <row r="30" spans="2:29" s="641" customFormat="1" outlineLevel="1">
      <c r="B30" s="664" t="str">
        <f t="shared" si="2"/>
        <v>F.</v>
      </c>
      <c r="C30" s="664" t="str">
        <f t="shared" si="2"/>
        <v>Group company loans (licensee borrower)</v>
      </c>
      <c r="D30" s="664"/>
      <c r="E30" s="664"/>
      <c r="F30" s="640"/>
      <c r="L30" s="666" t="s">
        <v>602</v>
      </c>
      <c r="M30" s="670">
        <v>0</v>
      </c>
      <c r="N30" s="671">
        <v>0</v>
      </c>
      <c r="O30" s="671">
        <v>0</v>
      </c>
      <c r="P30" s="671">
        <v>0</v>
      </c>
      <c r="Q30" s="671">
        <v>0</v>
      </c>
      <c r="R30" s="671">
        <v>0</v>
      </c>
      <c r="S30" s="671">
        <v>0</v>
      </c>
      <c r="T30" s="671">
        <v>0</v>
      </c>
      <c r="U30" s="671">
        <v>0</v>
      </c>
      <c r="V30" s="671">
        <v>0</v>
      </c>
    </row>
    <row r="31" spans="2:29" s="641" customFormat="1" outlineLevel="1">
      <c r="B31" s="664" t="str">
        <f t="shared" si="2"/>
        <v>G.</v>
      </c>
      <c r="C31" s="664" t="str">
        <f t="shared" si="2"/>
        <v>Group Loans from Finco back to back with finco bond issue</v>
      </c>
      <c r="D31" s="664"/>
      <c r="E31" s="664"/>
      <c r="F31" s="640"/>
      <c r="L31" s="666" t="s">
        <v>602</v>
      </c>
      <c r="M31" s="670">
        <v>0</v>
      </c>
      <c r="N31" s="671">
        <v>0</v>
      </c>
      <c r="O31" s="671">
        <v>0</v>
      </c>
      <c r="P31" s="671">
        <v>0</v>
      </c>
      <c r="Q31" s="671">
        <v>0</v>
      </c>
      <c r="R31" s="671">
        <v>0</v>
      </c>
      <c r="S31" s="671">
        <v>0</v>
      </c>
      <c r="T31" s="671">
        <v>0</v>
      </c>
      <c r="U31" s="671">
        <v>0</v>
      </c>
      <c r="V31" s="671">
        <v>0</v>
      </c>
    </row>
    <row r="32" spans="2:29" s="641" customFormat="1">
      <c r="B32" s="664" t="str">
        <f t="shared" si="2"/>
        <v>H.</v>
      </c>
      <c r="C32" s="664" t="str">
        <f t="shared" si="2"/>
        <v>Swaps Pay Leg</v>
      </c>
      <c r="D32" s="665"/>
      <c r="E32" s="664"/>
      <c r="F32" s="667"/>
      <c r="G32" s="667"/>
      <c r="H32" s="667"/>
      <c r="L32" s="666" t="s">
        <v>602</v>
      </c>
      <c r="M32" s="672">
        <v>38.531394469999995</v>
      </c>
      <c r="N32" s="673">
        <v>-6.4436149700000014</v>
      </c>
      <c r="O32" s="673">
        <v>-6.8353167927932956</v>
      </c>
      <c r="P32" s="673">
        <v>-7.0362708487620953</v>
      </c>
      <c r="Q32" s="673">
        <v>-7.1495110423016124</v>
      </c>
      <c r="R32" s="673">
        <v>-7.273013590652103</v>
      </c>
      <c r="S32" s="673">
        <v>-7.4127274487041532</v>
      </c>
      <c r="T32" s="673">
        <v>-7.5603649103365846</v>
      </c>
      <c r="U32" s="673">
        <v>-7.7115734240335465</v>
      </c>
      <c r="V32" s="673">
        <v>-7.7006347110960931</v>
      </c>
    </row>
    <row r="33" spans="2:24" s="641" customFormat="1">
      <c r="B33" s="664" t="str">
        <f t="shared" si="2"/>
        <v>I.</v>
      </c>
      <c r="C33" s="664" t="str">
        <f t="shared" si="2"/>
        <v>Swaps Receive Leg</v>
      </c>
      <c r="D33" s="665"/>
      <c r="E33" s="664"/>
      <c r="F33" s="667"/>
      <c r="G33" s="667"/>
      <c r="H33" s="667"/>
      <c r="L33" s="666" t="s">
        <v>602</v>
      </c>
      <c r="M33" s="670">
        <v>-27.967212770000003</v>
      </c>
      <c r="N33" s="671">
        <v>-10.830812499999999</v>
      </c>
      <c r="O33" s="671">
        <v>-10.842500000000001</v>
      </c>
      <c r="P33" s="671">
        <v>-10.842500000000001</v>
      </c>
      <c r="Q33" s="671">
        <v>-10.842500000000001</v>
      </c>
      <c r="R33" s="671">
        <v>-10.842500000000001</v>
      </c>
      <c r="S33" s="671">
        <v>-10.842500000000001</v>
      </c>
      <c r="T33" s="671">
        <v>-10.842500000000001</v>
      </c>
      <c r="U33" s="671">
        <v>-10.842500000000001</v>
      </c>
      <c r="V33" s="671">
        <v>-9.7978750000000012</v>
      </c>
    </row>
    <row r="34" spans="2:24" s="641" customFormat="1">
      <c r="B34" s="664" t="str">
        <f t="shared" si="2"/>
        <v>J.</v>
      </c>
      <c r="C34" s="664" t="str">
        <f t="shared" si="2"/>
        <v>Other</v>
      </c>
      <c r="D34" s="665"/>
      <c r="E34" s="664"/>
      <c r="F34" s="667"/>
      <c r="G34" s="667"/>
      <c r="H34" s="667"/>
      <c r="L34" s="666" t="s">
        <v>602</v>
      </c>
      <c r="M34" s="670">
        <v>0.69472574000000009</v>
      </c>
      <c r="N34" s="671">
        <v>9.5227405899999997</v>
      </c>
      <c r="O34" s="671">
        <v>0</v>
      </c>
      <c r="P34" s="671">
        <v>0</v>
      </c>
      <c r="Q34" s="671">
        <v>15.552398607683113</v>
      </c>
      <c r="R34" s="671">
        <v>26.249508228919183</v>
      </c>
      <c r="S34" s="671">
        <v>33.085475377754499</v>
      </c>
      <c r="T34" s="671">
        <v>39.958021199168783</v>
      </c>
      <c r="U34" s="671">
        <v>71.013295463943621</v>
      </c>
      <c r="V34" s="671">
        <v>82.573268308501937</v>
      </c>
    </row>
    <row r="35" spans="2:24" s="641" customFormat="1" outlineLevel="1">
      <c r="B35" s="674"/>
      <c r="C35" s="640"/>
      <c r="L35" s="675"/>
      <c r="T35" s="676"/>
    </row>
    <row r="36" spans="2:24" s="641" customFormat="1" outlineLevel="1">
      <c r="B36" s="674"/>
      <c r="C36" s="640"/>
      <c r="L36" s="675"/>
      <c r="T36" s="676"/>
    </row>
    <row r="37" spans="2:24" s="641" customFormat="1" ht="15">
      <c r="B37" s="656" t="s">
        <v>703</v>
      </c>
      <c r="C37" s="657"/>
      <c r="D37" s="657"/>
      <c r="E37" s="658"/>
      <c r="F37" s="658"/>
      <c r="G37" s="657"/>
      <c r="H37" s="657"/>
      <c r="I37" s="657"/>
      <c r="J37" s="657"/>
      <c r="K37" s="657"/>
      <c r="L37" s="657"/>
      <c r="M37" s="657"/>
      <c r="N37" s="657"/>
      <c r="O37" s="657"/>
      <c r="P37" s="657"/>
      <c r="Q37" s="657"/>
      <c r="R37" s="657"/>
      <c r="S37" s="657"/>
      <c r="T37" s="659"/>
      <c r="U37" s="657"/>
      <c r="V37" s="657"/>
    </row>
    <row r="38" spans="2:24" s="641" customFormat="1" ht="15">
      <c r="B38" s="677"/>
      <c r="E38" s="678"/>
      <c r="F38" s="678"/>
      <c r="T38" s="676"/>
    </row>
    <row r="39" spans="2:24" s="641" customFormat="1" outlineLevel="1">
      <c r="B39" s="679" t="s">
        <v>704</v>
      </c>
      <c r="D39" s="678"/>
      <c r="M39" s="680" t="s">
        <v>705</v>
      </c>
      <c r="N39" s="681" t="s">
        <v>705</v>
      </c>
      <c r="O39" s="681" t="s">
        <v>705</v>
      </c>
      <c r="P39" s="681" t="s">
        <v>705</v>
      </c>
      <c r="Q39" s="681" t="s">
        <v>705</v>
      </c>
      <c r="R39" s="681" t="s">
        <v>705</v>
      </c>
      <c r="S39" s="682" t="s">
        <v>705</v>
      </c>
      <c r="T39" s="683" t="s">
        <v>705</v>
      </c>
      <c r="U39" s="684" t="s">
        <v>705</v>
      </c>
      <c r="V39" s="681" t="s">
        <v>705</v>
      </c>
    </row>
    <row r="40" spans="2:24" s="641" customFormat="1" outlineLevel="1">
      <c r="C40" s="685" t="s">
        <v>706</v>
      </c>
      <c r="D40" s="686"/>
      <c r="E40" s="687"/>
      <c r="F40" s="686"/>
      <c r="G40" s="686"/>
      <c r="H40" s="686"/>
      <c r="I40" s="686"/>
      <c r="J40" s="686"/>
      <c r="K40" s="686"/>
      <c r="L40" s="686"/>
      <c r="M40" s="99"/>
      <c r="N40" s="100"/>
      <c r="O40" s="100"/>
      <c r="P40" s="100"/>
      <c r="Q40" s="100"/>
      <c r="R40" s="100"/>
      <c r="S40" s="101"/>
      <c r="T40" s="351"/>
      <c r="U40" s="342"/>
      <c r="V40" s="100"/>
      <c r="X40" s="263"/>
    </row>
    <row r="41" spans="2:24" s="641" customFormat="1" outlineLevel="1">
      <c r="C41" s="685" t="s">
        <v>707</v>
      </c>
      <c r="D41" s="686"/>
      <c r="E41" s="687"/>
      <c r="F41" s="687"/>
      <c r="G41" s="686"/>
      <c r="H41" s="686"/>
      <c r="I41" s="686"/>
      <c r="J41" s="686"/>
      <c r="K41" s="686"/>
      <c r="L41" s="686"/>
      <c r="M41" s="99"/>
      <c r="N41" s="100"/>
      <c r="O41" s="100"/>
      <c r="P41" s="100"/>
      <c r="Q41" s="100"/>
      <c r="R41" s="100"/>
      <c r="S41" s="101"/>
      <c r="T41" s="351"/>
      <c r="U41" s="342"/>
      <c r="V41" s="100"/>
      <c r="X41" s="263"/>
    </row>
    <row r="42" spans="2:24" s="641" customFormat="1" outlineLevel="1">
      <c r="B42" s="664" t="str">
        <f t="shared" ref="B42:C42" si="3">B13</f>
        <v>B.</v>
      </c>
      <c r="C42" s="688" t="str">
        <f t="shared" si="3"/>
        <v>Bonds</v>
      </c>
      <c r="D42" s="688"/>
      <c r="E42" s="689"/>
      <c r="F42" s="689"/>
      <c r="G42" s="686"/>
      <c r="H42" s="686"/>
      <c r="I42" s="686"/>
      <c r="J42" s="686"/>
      <c r="K42" s="686"/>
      <c r="L42" s="686"/>
      <c r="M42" s="755">
        <v>118.7808846694796</v>
      </c>
      <c r="N42" s="756">
        <v>161.36196413502108</v>
      </c>
      <c r="O42" s="756">
        <v>153.56007159889651</v>
      </c>
      <c r="P42" s="756">
        <v>122.11657850410663</v>
      </c>
      <c r="Q42" s="756">
        <v>100.95765278342532</v>
      </c>
      <c r="R42" s="756">
        <v>91.586882656122498</v>
      </c>
      <c r="S42" s="757">
        <v>92.492500379405627</v>
      </c>
      <c r="T42" s="758">
        <v>92.245849953552323</v>
      </c>
      <c r="U42" s="759">
        <v>74.765440402511402</v>
      </c>
      <c r="V42" s="756">
        <v>75.055066114586793</v>
      </c>
      <c r="X42" s="690">
        <f>X13</f>
        <v>0</v>
      </c>
    </row>
    <row r="43" spans="2:24" s="641" customFormat="1" outlineLevel="1">
      <c r="B43" s="664" t="str">
        <f>B14</f>
        <v>C.</v>
      </c>
      <c r="C43" s="691" t="str">
        <f>C14</f>
        <v>External Loans</v>
      </c>
      <c r="D43" s="688"/>
      <c r="E43" s="689"/>
      <c r="F43" s="689"/>
      <c r="G43" s="686"/>
      <c r="H43" s="686"/>
      <c r="I43" s="686"/>
      <c r="J43" s="686"/>
      <c r="K43" s="686"/>
      <c r="L43" s="686"/>
      <c r="M43" s="755">
        <v>4.7245180562859153</v>
      </c>
      <c r="N43" s="756">
        <v>12.851940186036982</v>
      </c>
      <c r="O43" s="756">
        <v>12.810488404059598</v>
      </c>
      <c r="P43" s="756">
        <v>1.576217585915046</v>
      </c>
      <c r="Q43" s="756">
        <v>1.3219156753485544</v>
      </c>
      <c r="R43" s="756">
        <v>1.4838582474878121</v>
      </c>
      <c r="S43" s="757">
        <v>1.6474137517163958</v>
      </c>
      <c r="T43" s="758">
        <v>0.44994119516853681</v>
      </c>
      <c r="U43" s="759">
        <v>0</v>
      </c>
      <c r="V43" s="756">
        <v>0</v>
      </c>
      <c r="X43" s="690">
        <f>X14</f>
        <v>0</v>
      </c>
    </row>
    <row r="44" spans="2:24" s="641" customFormat="1" outlineLevel="1">
      <c r="B44" s="664" t="str">
        <f>B15</f>
        <v>D.</v>
      </c>
      <c r="C44" s="691" t="str">
        <f>C15</f>
        <v>Private Placements</v>
      </c>
      <c r="D44" s="688"/>
      <c r="E44" s="689"/>
      <c r="F44" s="689"/>
      <c r="G44" s="686"/>
      <c r="H44" s="686"/>
      <c r="I44" s="686"/>
      <c r="J44" s="686"/>
      <c r="K44" s="686"/>
      <c r="L44" s="686"/>
      <c r="M44" s="755">
        <v>6.4774999999999974</v>
      </c>
      <c r="N44" s="756">
        <v>6.7794720457166484</v>
      </c>
      <c r="O44" s="756">
        <v>13.043579999999993</v>
      </c>
      <c r="P44" s="756">
        <v>30.768549781878765</v>
      </c>
      <c r="Q44" s="756">
        <v>31.94545999999999</v>
      </c>
      <c r="R44" s="756">
        <v>31.94545999999999</v>
      </c>
      <c r="S44" s="757">
        <v>31.94545999999999</v>
      </c>
      <c r="T44" s="758">
        <v>31.94545999999999</v>
      </c>
      <c r="U44" s="759">
        <v>31.94545999999999</v>
      </c>
      <c r="V44" s="756">
        <v>30.888187220834439</v>
      </c>
      <c r="X44" s="690">
        <f>X15</f>
        <v>0</v>
      </c>
    </row>
    <row r="45" spans="2:24" s="641" customFormat="1" outlineLevel="1">
      <c r="B45" s="664" t="str">
        <f>B17</f>
        <v>F.</v>
      </c>
      <c r="C45" s="691" t="str">
        <f>C17</f>
        <v>Group company loans (licensee borrower)</v>
      </c>
      <c r="D45" s="688"/>
      <c r="E45" s="689"/>
      <c r="F45" s="689"/>
      <c r="G45" s="686"/>
      <c r="H45" s="686"/>
      <c r="I45" s="686"/>
      <c r="J45" s="686"/>
      <c r="K45" s="686"/>
      <c r="L45" s="686"/>
      <c r="M45" s="755">
        <v>0</v>
      </c>
      <c r="N45" s="759">
        <v>0</v>
      </c>
      <c r="O45" s="759">
        <v>0</v>
      </c>
      <c r="P45" s="759">
        <v>0</v>
      </c>
      <c r="Q45" s="759">
        <v>0</v>
      </c>
      <c r="R45" s="759">
        <v>0</v>
      </c>
      <c r="S45" s="760">
        <v>0</v>
      </c>
      <c r="T45" s="761">
        <v>0</v>
      </c>
      <c r="U45" s="759">
        <v>0</v>
      </c>
      <c r="V45" s="759">
        <v>0</v>
      </c>
      <c r="X45" s="690"/>
    </row>
    <row r="46" spans="2:24" s="641" customFormat="1" outlineLevel="1">
      <c r="B46" s="664" t="str">
        <f>B18</f>
        <v>G.</v>
      </c>
      <c r="C46" s="691" t="str">
        <f>C18</f>
        <v>Group Loans from Finco back to back with finco bond issue</v>
      </c>
      <c r="D46" s="688"/>
      <c r="E46" s="689"/>
      <c r="F46" s="689"/>
      <c r="G46" s="686"/>
      <c r="H46" s="686"/>
      <c r="I46" s="686"/>
      <c r="J46" s="686"/>
      <c r="K46" s="686"/>
      <c r="L46" s="686"/>
      <c r="M46" s="755">
        <v>0</v>
      </c>
      <c r="N46" s="759">
        <v>0</v>
      </c>
      <c r="O46" s="759">
        <v>0</v>
      </c>
      <c r="P46" s="759">
        <v>0</v>
      </c>
      <c r="Q46" s="759">
        <v>0</v>
      </c>
      <c r="R46" s="759">
        <v>0</v>
      </c>
      <c r="S46" s="760">
        <v>0</v>
      </c>
      <c r="T46" s="761">
        <v>0</v>
      </c>
      <c r="U46" s="759">
        <v>0</v>
      </c>
      <c r="V46" s="759">
        <v>0</v>
      </c>
      <c r="X46" s="690"/>
    </row>
    <row r="47" spans="2:24" s="641" customFormat="1" outlineLevel="1">
      <c r="B47" s="664" t="s">
        <v>708</v>
      </c>
      <c r="C47" s="691" t="s">
        <v>709</v>
      </c>
      <c r="D47" s="688"/>
      <c r="E47" s="689"/>
      <c r="F47" s="689"/>
      <c r="G47" s="686"/>
      <c r="H47" s="686"/>
      <c r="I47" s="686"/>
      <c r="J47" s="686"/>
      <c r="K47" s="686"/>
      <c r="L47" s="686"/>
      <c r="M47" s="762">
        <v>17.326891420292391</v>
      </c>
      <c r="N47" s="762">
        <v>35.032349934728181</v>
      </c>
      <c r="O47" s="762">
        <v>6.7181434976018366</v>
      </c>
      <c r="P47" s="762">
        <v>0.12421854651829989</v>
      </c>
      <c r="Q47" s="762">
        <v>-6.8575027023853856</v>
      </c>
      <c r="R47" s="762">
        <v>-4.8065084822838884</v>
      </c>
      <c r="S47" s="763">
        <v>-3.8578867708908895</v>
      </c>
      <c r="T47" s="764">
        <v>-3.7317110591204656</v>
      </c>
      <c r="U47" s="765">
        <v>-3.6030118331146372</v>
      </c>
      <c r="V47" s="762">
        <v>-3.4364649660677706</v>
      </c>
      <c r="X47" s="690"/>
    </row>
    <row r="48" spans="2:24" s="641" customFormat="1" outlineLevel="1">
      <c r="B48" s="664" t="str">
        <f>B21</f>
        <v>J.</v>
      </c>
      <c r="C48" s="691" t="str">
        <f>C21</f>
        <v>Other</v>
      </c>
      <c r="D48" s="688"/>
      <c r="E48" s="689"/>
      <c r="F48" s="689"/>
      <c r="G48" s="686"/>
      <c r="H48" s="686"/>
      <c r="I48" s="686"/>
      <c r="J48" s="686"/>
      <c r="K48" s="686"/>
      <c r="L48" s="686"/>
      <c r="M48" s="755">
        <v>0</v>
      </c>
      <c r="N48" s="759">
        <v>0</v>
      </c>
      <c r="O48" s="759">
        <v>0</v>
      </c>
      <c r="P48" s="759">
        <v>0</v>
      </c>
      <c r="Q48" s="759">
        <v>0</v>
      </c>
      <c r="R48" s="759">
        <v>0</v>
      </c>
      <c r="S48" s="760">
        <v>0</v>
      </c>
      <c r="T48" s="761">
        <v>0</v>
      </c>
      <c r="U48" s="759">
        <v>0</v>
      </c>
      <c r="V48" s="759">
        <v>0</v>
      </c>
      <c r="X48" s="690"/>
    </row>
    <row r="49" spans="3:24" s="641" customFormat="1" outlineLevel="1">
      <c r="C49" s="1344" t="s">
        <v>1169</v>
      </c>
      <c r="D49" s="693"/>
      <c r="E49" s="694"/>
      <c r="F49" s="694"/>
      <c r="G49" s="686"/>
      <c r="H49" s="686"/>
      <c r="I49" s="686"/>
      <c r="J49" s="686"/>
      <c r="K49" s="686"/>
      <c r="L49" s="686"/>
      <c r="M49" s="99">
        <v>0</v>
      </c>
      <c r="N49" s="100">
        <v>-15.8</v>
      </c>
      <c r="O49" s="99"/>
      <c r="P49" s="100"/>
      <c r="Q49" s="100"/>
      <c r="R49" s="100"/>
      <c r="S49" s="101"/>
      <c r="T49" s="351"/>
      <c r="U49" s="342"/>
      <c r="V49" s="100"/>
      <c r="X49" s="263"/>
    </row>
    <row r="50" spans="3:24" s="641" customFormat="1" outlineLevel="1">
      <c r="C50" s="1345" t="s">
        <v>1170</v>
      </c>
      <c r="D50" s="693"/>
      <c r="E50" s="694"/>
      <c r="F50" s="694"/>
      <c r="G50" s="686"/>
      <c r="H50" s="686"/>
      <c r="I50" s="686"/>
      <c r="J50" s="686"/>
      <c r="K50" s="686"/>
      <c r="L50" s="686"/>
      <c r="M50" s="102">
        <v>0</v>
      </c>
      <c r="N50" s="103">
        <v>4.7999999999999972</v>
      </c>
      <c r="O50" s="102"/>
      <c r="P50" s="103"/>
      <c r="Q50" s="103"/>
      <c r="R50" s="103"/>
      <c r="S50" s="104"/>
      <c r="T50" s="352"/>
      <c r="U50" s="343"/>
      <c r="V50" s="103"/>
      <c r="X50" s="263"/>
    </row>
    <row r="51" spans="3:24" s="641" customFormat="1" outlineLevel="1">
      <c r="C51" s="1345" t="s">
        <v>710</v>
      </c>
      <c r="D51" s="693"/>
      <c r="E51" s="694"/>
      <c r="F51" s="694"/>
      <c r="G51" s="686"/>
      <c r="H51" s="686"/>
      <c r="I51" s="686"/>
      <c r="J51" s="686"/>
      <c r="K51" s="686"/>
      <c r="L51" s="686"/>
      <c r="M51" s="102">
        <v>0</v>
      </c>
      <c r="N51" s="103">
        <v>0.29999999999999893</v>
      </c>
      <c r="O51" s="102"/>
      <c r="P51" s="103"/>
      <c r="Q51" s="103"/>
      <c r="R51" s="103"/>
      <c r="S51" s="104"/>
      <c r="T51" s="352"/>
      <c r="U51" s="343"/>
      <c r="V51" s="103"/>
      <c r="X51" s="263"/>
    </row>
    <row r="52" spans="3:24" s="641" customFormat="1" outlineLevel="1">
      <c r="C52" s="1345" t="s">
        <v>1171</v>
      </c>
      <c r="D52" s="693"/>
      <c r="E52" s="694"/>
      <c r="F52" s="694"/>
      <c r="G52" s="686"/>
      <c r="H52" s="686"/>
      <c r="I52" s="686"/>
      <c r="J52" s="686"/>
      <c r="K52" s="686"/>
      <c r="L52" s="686"/>
      <c r="M52" s="102"/>
      <c r="N52" s="102"/>
      <c r="O52" s="102"/>
      <c r="P52" s="103"/>
      <c r="Q52" s="103"/>
      <c r="R52" s="103"/>
      <c r="S52" s="104"/>
      <c r="T52" s="352"/>
      <c r="U52" s="343"/>
      <c r="V52" s="103"/>
      <c r="X52" s="263"/>
    </row>
    <row r="53" spans="3:24" s="641" customFormat="1" outlineLevel="1">
      <c r="C53" s="692" t="s">
        <v>1172</v>
      </c>
      <c r="D53" s="693"/>
      <c r="E53" s="694"/>
      <c r="F53" s="694"/>
      <c r="G53" s="686"/>
      <c r="H53" s="686"/>
      <c r="I53" s="686"/>
      <c r="J53" s="686"/>
      <c r="K53" s="686"/>
      <c r="L53" s="686"/>
      <c r="M53" s="102"/>
      <c r="N53" s="103"/>
      <c r="O53" s="103"/>
      <c r="P53" s="103">
        <v>10.226234700942321</v>
      </c>
      <c r="Q53" s="103">
        <v>40.059350169991461</v>
      </c>
      <c r="R53" s="103"/>
      <c r="S53" s="104"/>
      <c r="T53" s="352"/>
      <c r="U53" s="343"/>
      <c r="V53" s="103"/>
      <c r="X53" s="263"/>
    </row>
    <row r="54" spans="3:24" s="641" customFormat="1" outlineLevel="1">
      <c r="C54" s="692" t="s">
        <v>1173</v>
      </c>
      <c r="D54" s="693"/>
      <c r="E54" s="694"/>
      <c r="F54" s="694"/>
      <c r="G54" s="686"/>
      <c r="H54" s="686"/>
      <c r="I54" s="686"/>
      <c r="J54" s="686"/>
      <c r="K54" s="686"/>
      <c r="L54" s="686"/>
      <c r="M54" s="102"/>
      <c r="N54" s="103"/>
      <c r="O54" s="103"/>
      <c r="P54" s="103">
        <v>0</v>
      </c>
      <c r="Q54" s="103">
        <v>5.4286702007582539</v>
      </c>
      <c r="R54" s="103"/>
      <c r="S54" s="104"/>
      <c r="T54" s="352"/>
      <c r="U54" s="343"/>
      <c r="V54" s="103"/>
      <c r="X54" s="263"/>
    </row>
    <row r="55" spans="3:24" s="641" customFormat="1" outlineLevel="1">
      <c r="C55" s="1345" t="s">
        <v>1174</v>
      </c>
      <c r="D55" s="693"/>
      <c r="E55" s="694"/>
      <c r="F55" s="694"/>
      <c r="G55" s="686"/>
      <c r="H55" s="686"/>
      <c r="I55" s="686"/>
      <c r="J55" s="686"/>
      <c r="K55" s="686"/>
      <c r="L55" s="686"/>
      <c r="M55" s="102">
        <v>14.332353837027199</v>
      </c>
      <c r="N55" s="102">
        <v>-54.983831218971602</v>
      </c>
      <c r="O55" s="102">
        <v>-20.968053596192988</v>
      </c>
      <c r="P55" s="102">
        <v>-31.585013781389705</v>
      </c>
      <c r="Q55" s="102">
        <v>-9.479129126350557</v>
      </c>
      <c r="R55" s="103"/>
      <c r="S55" s="104"/>
      <c r="T55" s="352"/>
      <c r="U55" s="343"/>
      <c r="V55" s="103"/>
      <c r="X55" s="263"/>
    </row>
    <row r="56" spans="3:24" s="641" customFormat="1" outlineLevel="1">
      <c r="C56" s="692" t="s">
        <v>710</v>
      </c>
      <c r="D56" s="693"/>
      <c r="E56" s="694"/>
      <c r="F56" s="694"/>
      <c r="G56" s="686"/>
      <c r="H56" s="686"/>
      <c r="I56" s="686"/>
      <c r="J56" s="686"/>
      <c r="K56" s="686"/>
      <c r="L56" s="686"/>
      <c r="M56" s="102"/>
      <c r="N56" s="103"/>
      <c r="O56" s="103"/>
      <c r="P56" s="103"/>
      <c r="Q56" s="103"/>
      <c r="R56" s="103"/>
      <c r="S56" s="104"/>
      <c r="T56" s="352"/>
      <c r="U56" s="343"/>
      <c r="V56" s="103"/>
      <c r="X56" s="263"/>
    </row>
    <row r="57" spans="3:24" s="641" customFormat="1" outlineLevel="1">
      <c r="C57" s="692" t="s">
        <v>710</v>
      </c>
      <c r="D57" s="693"/>
      <c r="E57" s="694"/>
      <c r="F57" s="694"/>
      <c r="G57" s="686"/>
      <c r="H57" s="686"/>
      <c r="I57" s="686"/>
      <c r="J57" s="686"/>
      <c r="K57" s="686"/>
      <c r="L57" s="686"/>
      <c r="M57" s="102"/>
      <c r="N57" s="103"/>
      <c r="O57" s="103"/>
      <c r="P57" s="103"/>
      <c r="Q57" s="103"/>
      <c r="R57" s="103"/>
      <c r="S57" s="104"/>
      <c r="T57" s="352"/>
      <c r="U57" s="343"/>
      <c r="V57" s="103"/>
      <c r="X57" s="263"/>
    </row>
    <row r="58" spans="3:24" s="641" customFormat="1" outlineLevel="1">
      <c r="C58" s="692" t="s">
        <v>710</v>
      </c>
      <c r="D58" s="693"/>
      <c r="E58" s="694"/>
      <c r="F58" s="694"/>
      <c r="G58" s="686"/>
      <c r="H58" s="686"/>
      <c r="I58" s="686"/>
      <c r="J58" s="686"/>
      <c r="K58" s="686"/>
      <c r="L58" s="686"/>
      <c r="M58" s="102"/>
      <c r="N58" s="103"/>
      <c r="O58" s="103"/>
      <c r="P58" s="103"/>
      <c r="Q58" s="103"/>
      <c r="R58" s="103"/>
      <c r="S58" s="104"/>
      <c r="T58" s="352"/>
      <c r="U58" s="343"/>
      <c r="V58" s="103"/>
      <c r="X58" s="263"/>
    </row>
    <row r="59" spans="3:24" s="641" customFormat="1" outlineLevel="1">
      <c r="C59" s="695" t="s">
        <v>711</v>
      </c>
      <c r="D59" s="686"/>
      <c r="E59" s="687"/>
      <c r="F59" s="687"/>
      <c r="G59" s="686"/>
      <c r="H59" s="686"/>
      <c r="I59" s="686"/>
      <c r="J59" s="686"/>
      <c r="K59" s="686"/>
      <c r="L59" s="686"/>
      <c r="M59" s="766">
        <v>161.6421479830851</v>
      </c>
      <c r="N59" s="767">
        <v>150.34189508253132</v>
      </c>
      <c r="O59" s="767">
        <v>165.16422990436493</v>
      </c>
      <c r="P59" s="767">
        <v>133.22678533797136</v>
      </c>
      <c r="Q59" s="767">
        <v>163.37641700078763</v>
      </c>
      <c r="R59" s="767">
        <v>120.20969242132641</v>
      </c>
      <c r="S59" s="768">
        <v>122.22748736023114</v>
      </c>
      <c r="T59" s="769">
        <v>120.90954008960037</v>
      </c>
      <c r="U59" s="770">
        <v>103.10788856939675</v>
      </c>
      <c r="V59" s="767">
        <v>102.50678836935346</v>
      </c>
      <c r="X59" s="696">
        <f>SUM(X40:X49)</f>
        <v>0</v>
      </c>
    </row>
    <row r="60" spans="3:24" s="641" customFormat="1" outlineLevel="1">
      <c r="C60" s="685" t="s">
        <v>712</v>
      </c>
      <c r="D60" s="686"/>
      <c r="E60" s="687"/>
      <c r="F60" s="687"/>
      <c r="G60" s="686"/>
      <c r="H60" s="686"/>
      <c r="I60" s="686"/>
      <c r="J60" s="686"/>
      <c r="K60" s="686"/>
      <c r="L60" s="686"/>
      <c r="M60" s="99"/>
      <c r="N60" s="99"/>
      <c r="O60" s="99"/>
      <c r="P60" s="99"/>
      <c r="Q60" s="99"/>
      <c r="R60" s="99"/>
      <c r="S60" s="349"/>
      <c r="T60" s="353"/>
      <c r="U60" s="342"/>
      <c r="V60" s="99"/>
      <c r="X60" s="263"/>
    </row>
    <row r="61" spans="3:24" s="641" customFormat="1" outlineLevel="1">
      <c r="C61" s="685" t="s">
        <v>713</v>
      </c>
      <c r="D61" s="686"/>
      <c r="E61" s="687"/>
      <c r="F61" s="687"/>
      <c r="G61" s="686"/>
      <c r="H61" s="686"/>
      <c r="I61" s="686"/>
      <c r="J61" s="686"/>
      <c r="K61" s="686"/>
      <c r="L61" s="686"/>
      <c r="M61" s="99">
        <v>0.13303300000000001</v>
      </c>
      <c r="N61" s="99">
        <v>0.30235216999999998</v>
      </c>
      <c r="O61" s="99">
        <v>0.21635531</v>
      </c>
      <c r="P61" s="99"/>
      <c r="Q61" s="99"/>
      <c r="R61" s="99"/>
      <c r="S61" s="349"/>
      <c r="T61" s="353"/>
      <c r="U61" s="342"/>
      <c r="V61" s="99"/>
      <c r="X61" s="263"/>
    </row>
    <row r="62" spans="3:24" s="641" customFormat="1" outlineLevel="1">
      <c r="C62" s="685" t="s">
        <v>714</v>
      </c>
      <c r="D62" s="686"/>
      <c r="E62" s="687"/>
      <c r="F62" s="687"/>
      <c r="G62" s="686"/>
      <c r="H62" s="686"/>
      <c r="I62" s="686"/>
      <c r="J62" s="686"/>
      <c r="K62" s="686"/>
      <c r="L62" s="686"/>
      <c r="M62" s="99"/>
      <c r="N62" s="99"/>
      <c r="O62" s="99"/>
      <c r="P62" s="99"/>
      <c r="Q62" s="99"/>
      <c r="R62" s="99"/>
      <c r="S62" s="349"/>
      <c r="T62" s="353"/>
      <c r="U62" s="342"/>
      <c r="V62" s="99"/>
      <c r="X62" s="263"/>
    </row>
    <row r="63" spans="3:24" s="641" customFormat="1" outlineLevel="1">
      <c r="C63" s="685" t="s">
        <v>715</v>
      </c>
      <c r="D63" s="686"/>
      <c r="E63" s="687"/>
      <c r="F63" s="687"/>
      <c r="G63" s="686"/>
      <c r="H63" s="686"/>
      <c r="I63" s="686"/>
      <c r="J63" s="686"/>
      <c r="K63" s="686"/>
      <c r="L63" s="686"/>
      <c r="M63" s="99"/>
      <c r="N63" s="99"/>
      <c r="O63" s="99"/>
      <c r="P63" s="99"/>
      <c r="Q63" s="99"/>
      <c r="R63" s="99"/>
      <c r="S63" s="349"/>
      <c r="T63" s="353"/>
      <c r="U63" s="342"/>
      <c r="V63" s="99"/>
      <c r="X63" s="263"/>
    </row>
    <row r="64" spans="3:24" s="641" customFormat="1" outlineLevel="1">
      <c r="C64" s="685" t="s">
        <v>716</v>
      </c>
      <c r="D64" s="686"/>
      <c r="E64" s="687"/>
      <c r="F64" s="687"/>
      <c r="G64" s="686"/>
      <c r="H64" s="686"/>
      <c r="I64" s="686"/>
      <c r="J64" s="686"/>
      <c r="K64" s="686"/>
      <c r="L64" s="686"/>
      <c r="M64" s="99">
        <v>0.6658987943835617</v>
      </c>
      <c r="N64" s="99">
        <v>0.22601902000000001</v>
      </c>
      <c r="O64" s="99">
        <v>0.52084678000000006</v>
      </c>
      <c r="P64" s="99"/>
      <c r="Q64" s="99"/>
      <c r="R64" s="99"/>
      <c r="S64" s="349"/>
      <c r="T64" s="353"/>
      <c r="U64" s="342"/>
      <c r="V64" s="99"/>
      <c r="X64" s="263"/>
    </row>
    <row r="65" spans="3:24" s="641" customFormat="1" outlineLevel="1">
      <c r="C65" s="685" t="s">
        <v>717</v>
      </c>
      <c r="D65" s="686"/>
      <c r="E65" s="687"/>
      <c r="F65" s="687"/>
      <c r="G65" s="686"/>
      <c r="H65" s="686"/>
      <c r="I65" s="686"/>
      <c r="J65" s="686"/>
      <c r="K65" s="686"/>
      <c r="L65" s="686"/>
      <c r="M65" s="99"/>
      <c r="N65" s="99"/>
      <c r="O65" s="99"/>
      <c r="P65" s="99"/>
      <c r="Q65" s="99"/>
      <c r="R65" s="99"/>
      <c r="S65" s="349"/>
      <c r="T65" s="353"/>
      <c r="U65" s="342"/>
      <c r="V65" s="99"/>
      <c r="X65" s="263"/>
    </row>
    <row r="66" spans="3:24" s="641" customFormat="1" outlineLevel="1">
      <c r="C66" s="685" t="s">
        <v>718</v>
      </c>
      <c r="D66" s="686"/>
      <c r="E66" s="694"/>
      <c r="F66" s="694"/>
      <c r="G66" s="686"/>
      <c r="H66" s="686"/>
      <c r="I66" s="686"/>
      <c r="J66" s="686"/>
      <c r="K66" s="686"/>
      <c r="L66" s="686"/>
      <c r="M66" s="99">
        <v>0.81699995999999986</v>
      </c>
      <c r="N66" s="99"/>
      <c r="O66" s="99"/>
      <c r="P66" s="99"/>
      <c r="Q66" s="99"/>
      <c r="R66" s="99"/>
      <c r="S66" s="349"/>
      <c r="T66" s="353"/>
      <c r="U66" s="342"/>
      <c r="V66" s="99"/>
      <c r="X66" s="263"/>
    </row>
    <row r="67" spans="3:24" s="641" customFormat="1" outlineLevel="1">
      <c r="C67" s="685" t="s">
        <v>719</v>
      </c>
      <c r="D67" s="686"/>
      <c r="E67" s="694"/>
      <c r="F67" s="694"/>
      <c r="G67" s="686"/>
      <c r="H67" s="686"/>
      <c r="I67" s="686"/>
      <c r="J67" s="686"/>
      <c r="K67" s="686"/>
      <c r="L67" s="686"/>
      <c r="M67" s="99">
        <v>1.3182407399999998</v>
      </c>
      <c r="N67" s="99">
        <v>2.52585916</v>
      </c>
      <c r="O67" s="99">
        <v>6.2758986056350752</v>
      </c>
      <c r="P67" s="99"/>
      <c r="Q67" s="99"/>
      <c r="R67" s="99"/>
      <c r="S67" s="349"/>
      <c r="T67" s="353"/>
      <c r="U67" s="342"/>
      <c r="V67" s="99"/>
      <c r="X67" s="263"/>
    </row>
    <row r="68" spans="3:24" s="641" customFormat="1" outlineLevel="1">
      <c r="C68" s="692" t="s">
        <v>720</v>
      </c>
      <c r="D68" s="693"/>
      <c r="E68" s="694"/>
      <c r="F68" s="694"/>
      <c r="G68" s="686"/>
      <c r="H68" s="686"/>
      <c r="I68" s="686"/>
      <c r="J68" s="686"/>
      <c r="K68" s="686"/>
      <c r="L68" s="686"/>
      <c r="M68" s="99">
        <v>1.2485670725313254</v>
      </c>
      <c r="N68" s="99">
        <v>8.6469538774686736</v>
      </c>
      <c r="O68" s="99">
        <v>0</v>
      </c>
      <c r="P68" s="99"/>
      <c r="Q68" s="99"/>
      <c r="R68" s="99"/>
      <c r="S68" s="349"/>
      <c r="T68" s="353"/>
      <c r="U68" s="342"/>
      <c r="V68" s="99"/>
      <c r="X68" s="263"/>
    </row>
    <row r="69" spans="3:24" s="641" customFormat="1" outlineLevel="1">
      <c r="C69" s="692" t="s">
        <v>720</v>
      </c>
      <c r="D69" s="693"/>
      <c r="E69" s="694"/>
      <c r="F69" s="694"/>
      <c r="G69" s="686"/>
      <c r="H69" s="686"/>
      <c r="I69" s="686"/>
      <c r="J69" s="686"/>
      <c r="K69" s="686"/>
      <c r="L69" s="686"/>
      <c r="M69" s="99"/>
      <c r="N69" s="99"/>
      <c r="O69" s="99"/>
      <c r="P69" s="99"/>
      <c r="Q69" s="99"/>
      <c r="R69" s="99"/>
      <c r="S69" s="349"/>
      <c r="T69" s="353"/>
      <c r="U69" s="342"/>
      <c r="V69" s="99"/>
      <c r="X69" s="263"/>
    </row>
    <row r="70" spans="3:24" s="641" customFormat="1" outlineLevel="1">
      <c r="C70" s="692" t="s">
        <v>720</v>
      </c>
      <c r="D70" s="693"/>
      <c r="E70" s="694"/>
      <c r="F70" s="694"/>
      <c r="G70" s="686"/>
      <c r="H70" s="686"/>
      <c r="I70" s="686"/>
      <c r="J70" s="686"/>
      <c r="K70" s="686"/>
      <c r="L70" s="686"/>
      <c r="M70" s="99"/>
      <c r="N70" s="99"/>
      <c r="O70" s="99"/>
      <c r="P70" s="99"/>
      <c r="Q70" s="99"/>
      <c r="R70" s="99"/>
      <c r="S70" s="349"/>
      <c r="T70" s="353"/>
      <c r="U70" s="342"/>
      <c r="V70" s="99"/>
      <c r="X70" s="263"/>
    </row>
    <row r="71" spans="3:24" s="641" customFormat="1" outlineLevel="1">
      <c r="C71" s="692" t="s">
        <v>720</v>
      </c>
      <c r="D71" s="693"/>
      <c r="E71" s="694"/>
      <c r="F71" s="694"/>
      <c r="G71" s="686"/>
      <c r="H71" s="686"/>
      <c r="I71" s="686"/>
      <c r="J71" s="686"/>
      <c r="K71" s="686"/>
      <c r="L71" s="686"/>
      <c r="M71" s="99"/>
      <c r="N71" s="99"/>
      <c r="O71" s="99"/>
      <c r="P71" s="99"/>
      <c r="Q71" s="99"/>
      <c r="R71" s="99"/>
      <c r="S71" s="349"/>
      <c r="T71" s="353"/>
      <c r="U71" s="342"/>
      <c r="V71" s="99"/>
      <c r="X71" s="263"/>
    </row>
    <row r="72" spans="3:24" s="641" customFormat="1" outlineLevel="1">
      <c r="C72" s="692" t="s">
        <v>720</v>
      </c>
      <c r="D72" s="693"/>
      <c r="E72" s="694"/>
      <c r="F72" s="694"/>
      <c r="G72" s="686"/>
      <c r="H72" s="686"/>
      <c r="I72" s="686"/>
      <c r="J72" s="686"/>
      <c r="K72" s="686"/>
      <c r="L72" s="686"/>
      <c r="M72" s="99"/>
      <c r="N72" s="99"/>
      <c r="O72" s="99"/>
      <c r="P72" s="99"/>
      <c r="Q72" s="99"/>
      <c r="R72" s="99"/>
      <c r="S72" s="349"/>
      <c r="T72" s="353"/>
      <c r="U72" s="342"/>
      <c r="V72" s="99"/>
      <c r="X72" s="263"/>
    </row>
    <row r="73" spans="3:24" s="641" customFormat="1" outlineLevel="1">
      <c r="C73" s="692" t="s">
        <v>720</v>
      </c>
      <c r="D73" s="693"/>
      <c r="E73" s="694"/>
      <c r="F73" s="694"/>
      <c r="G73" s="686"/>
      <c r="H73" s="686"/>
      <c r="I73" s="686"/>
      <c r="J73" s="686"/>
      <c r="K73" s="686"/>
      <c r="L73" s="686"/>
      <c r="M73" s="99"/>
      <c r="N73" s="99"/>
      <c r="O73" s="99"/>
      <c r="P73" s="99"/>
      <c r="Q73" s="99"/>
      <c r="R73" s="99"/>
      <c r="S73" s="349"/>
      <c r="T73" s="353"/>
      <c r="U73" s="342"/>
      <c r="V73" s="99"/>
      <c r="X73" s="263"/>
    </row>
    <row r="74" spans="3:24" s="641" customFormat="1" outlineLevel="1">
      <c r="C74" s="692" t="s">
        <v>720</v>
      </c>
      <c r="D74" s="693"/>
      <c r="E74" s="694"/>
      <c r="F74" s="694"/>
      <c r="G74" s="686"/>
      <c r="H74" s="686"/>
      <c r="I74" s="686"/>
      <c r="J74" s="686"/>
      <c r="K74" s="686"/>
      <c r="L74" s="686"/>
      <c r="M74" s="99"/>
      <c r="N74" s="99"/>
      <c r="O74" s="99"/>
      <c r="P74" s="99"/>
      <c r="Q74" s="99"/>
      <c r="R74" s="99"/>
      <c r="S74" s="349"/>
      <c r="T74" s="353"/>
      <c r="U74" s="342"/>
      <c r="V74" s="99"/>
      <c r="X74" s="263"/>
    </row>
    <row r="75" spans="3:24" s="641" customFormat="1" outlineLevel="1">
      <c r="C75" s="695" t="s">
        <v>721</v>
      </c>
      <c r="D75" s="686"/>
      <c r="E75" s="697"/>
      <c r="F75" s="697"/>
      <c r="G75" s="686"/>
      <c r="H75" s="686"/>
      <c r="I75" s="686"/>
      <c r="J75" s="686"/>
      <c r="K75" s="686"/>
      <c r="L75" s="686"/>
      <c r="M75" s="743">
        <v>165.82488755</v>
      </c>
      <c r="N75" s="744">
        <v>162.04307931</v>
      </c>
      <c r="O75" s="744">
        <v>172.1773306</v>
      </c>
      <c r="P75" s="744">
        <v>133.22678533797136</v>
      </c>
      <c r="Q75" s="744">
        <v>163.37641700078763</v>
      </c>
      <c r="R75" s="744">
        <v>120.20969242132641</v>
      </c>
      <c r="S75" s="745">
        <v>122.22748736023114</v>
      </c>
      <c r="T75" s="746">
        <v>120.90954008960037</v>
      </c>
      <c r="U75" s="747">
        <v>103.10788856939675</v>
      </c>
      <c r="V75" s="744">
        <v>102.50678836935346</v>
      </c>
      <c r="X75" s="696">
        <f>SUM(X59:X67)</f>
        <v>0</v>
      </c>
    </row>
    <row r="76" spans="3:24" s="641" customFormat="1" outlineLevel="1">
      <c r="C76" s="698"/>
      <c r="D76" s="699"/>
      <c r="E76" s="700"/>
      <c r="F76" s="700"/>
      <c r="G76" s="699"/>
      <c r="H76" s="699"/>
      <c r="I76" s="699"/>
      <c r="J76" s="699"/>
      <c r="K76" s="699"/>
      <c r="L76" s="699"/>
      <c r="M76" s="701"/>
      <c r="N76" s="701"/>
      <c r="O76" s="701"/>
      <c r="P76" s="701"/>
      <c r="Q76" s="701"/>
      <c r="R76" s="701"/>
      <c r="S76" s="701"/>
      <c r="T76" s="702"/>
      <c r="U76" s="701"/>
      <c r="V76" s="701"/>
      <c r="X76" s="701"/>
    </row>
    <row r="77" spans="3:24" s="641" customFormat="1" outlineLevel="1">
      <c r="C77" s="703" t="s">
        <v>722</v>
      </c>
      <c r="D77" s="704"/>
      <c r="E77" s="704"/>
      <c r="F77" s="705"/>
      <c r="G77" s="704"/>
      <c r="H77" s="704"/>
      <c r="I77" s="704"/>
      <c r="J77" s="704"/>
      <c r="K77" s="704"/>
      <c r="L77" s="704"/>
      <c r="M77" s="701"/>
      <c r="N77" s="701"/>
      <c r="O77" s="701"/>
      <c r="P77" s="701"/>
      <c r="Q77" s="701"/>
      <c r="R77" s="701"/>
      <c r="S77" s="701"/>
      <c r="T77" s="702"/>
      <c r="U77" s="701"/>
      <c r="V77" s="701"/>
      <c r="X77" s="701"/>
    </row>
    <row r="78" spans="3:24" s="641" customFormat="1" outlineLevel="1">
      <c r="C78" s="685" t="s">
        <v>723</v>
      </c>
      <c r="D78" s="686"/>
      <c r="E78" s="687"/>
      <c r="F78" s="687"/>
      <c r="G78" s="686"/>
      <c r="H78" s="686"/>
      <c r="I78" s="686"/>
      <c r="J78" s="686"/>
      <c r="K78" s="686"/>
      <c r="L78" s="687"/>
      <c r="M78" s="96">
        <v>-0.12219136999999999</v>
      </c>
      <c r="N78" s="97">
        <v>-2.0430793100000026</v>
      </c>
      <c r="O78" s="97">
        <v>-9.1773305999999994</v>
      </c>
      <c r="P78" s="97">
        <v>-9</v>
      </c>
      <c r="Q78" s="97">
        <v>-15.91308604532419</v>
      </c>
      <c r="R78" s="97">
        <v>-12.914189124719179</v>
      </c>
      <c r="S78" s="97">
        <v>0</v>
      </c>
      <c r="T78" s="97">
        <v>-1.2585613828203506</v>
      </c>
      <c r="U78" s="97">
        <v>-9.7149311319119658</v>
      </c>
      <c r="V78" s="97">
        <v>-8.0266370981509655E-2</v>
      </c>
      <c r="X78" s="263"/>
    </row>
    <row r="79" spans="3:24" s="641" customFormat="1" outlineLevel="1">
      <c r="C79" s="687" t="s">
        <v>724</v>
      </c>
      <c r="D79" s="686"/>
      <c r="E79" s="687"/>
      <c r="F79" s="687"/>
      <c r="G79" s="686"/>
      <c r="H79" s="686"/>
      <c r="I79" s="686"/>
      <c r="J79" s="686"/>
      <c r="K79" s="686"/>
      <c r="L79" s="687"/>
      <c r="M79" s="99"/>
      <c r="N79" s="100"/>
      <c r="O79" s="100"/>
      <c r="P79" s="100"/>
      <c r="Q79" s="100"/>
      <c r="R79" s="100"/>
      <c r="S79" s="101"/>
      <c r="T79" s="351"/>
      <c r="U79" s="342"/>
      <c r="V79" s="100"/>
      <c r="X79" s="263"/>
    </row>
    <row r="80" spans="3:24" s="641" customFormat="1" outlineLevel="1">
      <c r="C80" s="687" t="s">
        <v>725</v>
      </c>
      <c r="D80" s="686"/>
      <c r="E80" s="687"/>
      <c r="F80" s="687"/>
      <c r="G80" s="686"/>
      <c r="H80" s="686"/>
      <c r="I80" s="686"/>
      <c r="J80" s="686"/>
      <c r="K80" s="686"/>
      <c r="L80" s="687"/>
      <c r="M80" s="99"/>
      <c r="N80" s="100"/>
      <c r="O80" s="100"/>
      <c r="P80" s="100"/>
      <c r="Q80" s="100"/>
      <c r="R80" s="100"/>
      <c r="S80" s="101"/>
      <c r="T80" s="351"/>
      <c r="U80" s="342"/>
      <c r="V80" s="100"/>
      <c r="X80" s="263"/>
    </row>
    <row r="81" spans="2:24" s="641" customFormat="1" outlineLevel="1">
      <c r="B81" s="664" t="str">
        <f>B16</f>
        <v>E.</v>
      </c>
      <c r="C81" s="691" t="str">
        <f>C16</f>
        <v>Group company loans (licensee lender)</v>
      </c>
      <c r="D81" s="688"/>
      <c r="E81" s="689"/>
      <c r="F81" s="689"/>
      <c r="G81" s="686"/>
      <c r="H81" s="686"/>
      <c r="I81" s="686"/>
      <c r="J81" s="686"/>
      <c r="K81" s="686"/>
      <c r="L81" s="687"/>
      <c r="M81" s="771">
        <v>0</v>
      </c>
      <c r="N81" s="772">
        <v>0</v>
      </c>
      <c r="O81" s="772">
        <v>0</v>
      </c>
      <c r="P81" s="772">
        <v>0</v>
      </c>
      <c r="Q81" s="772">
        <v>0</v>
      </c>
      <c r="R81" s="772">
        <v>0</v>
      </c>
      <c r="S81" s="773">
        <v>0</v>
      </c>
      <c r="T81" s="774">
        <v>0</v>
      </c>
      <c r="U81" s="775">
        <v>0</v>
      </c>
      <c r="V81" s="772">
        <v>0</v>
      </c>
      <c r="X81" s="706">
        <f>X16</f>
        <v>0</v>
      </c>
    </row>
    <row r="82" spans="2:24" s="641" customFormat="1" outlineLevel="1">
      <c r="C82" s="695" t="s">
        <v>726</v>
      </c>
      <c r="D82" s="686"/>
      <c r="E82" s="687"/>
      <c r="F82" s="687"/>
      <c r="G82" s="686"/>
      <c r="H82" s="686"/>
      <c r="I82" s="686"/>
      <c r="J82" s="686"/>
      <c r="K82" s="686"/>
      <c r="L82" s="687"/>
      <c r="M82" s="766">
        <v>-0.12219136999999999</v>
      </c>
      <c r="N82" s="767">
        <v>-2.0430793100000026</v>
      </c>
      <c r="O82" s="767">
        <v>-9.1773305999999994</v>
      </c>
      <c r="P82" s="767">
        <v>-9</v>
      </c>
      <c r="Q82" s="767">
        <v>-15.91308604532419</v>
      </c>
      <c r="R82" s="767">
        <v>-12.914189124719179</v>
      </c>
      <c r="S82" s="768">
        <v>0</v>
      </c>
      <c r="T82" s="769">
        <v>-1.2585613828203506</v>
      </c>
      <c r="U82" s="770">
        <v>-9.7149311319119658</v>
      </c>
      <c r="V82" s="767">
        <v>-8.0266370981509655E-2</v>
      </c>
      <c r="X82" s="696">
        <f t="shared" ref="X82" si="4">SUM(X78:X81)</f>
        <v>0</v>
      </c>
    </row>
    <row r="83" spans="2:24" s="641" customFormat="1" outlineLevel="1">
      <c r="C83" s="685" t="s">
        <v>727</v>
      </c>
      <c r="D83" s="686"/>
      <c r="E83" s="687"/>
      <c r="F83" s="687"/>
      <c r="G83" s="686"/>
      <c r="H83" s="686"/>
      <c r="I83" s="686"/>
      <c r="J83" s="686"/>
      <c r="K83" s="686"/>
      <c r="L83" s="687"/>
      <c r="M83" s="99">
        <v>-4</v>
      </c>
      <c r="N83" s="99">
        <v>-6</v>
      </c>
      <c r="O83" s="99">
        <v>-7</v>
      </c>
      <c r="P83" s="99"/>
      <c r="Q83" s="99"/>
      <c r="R83" s="99"/>
      <c r="S83" s="349"/>
      <c r="T83" s="351"/>
      <c r="U83" s="342"/>
      <c r="V83" s="100"/>
      <c r="X83" s="263"/>
    </row>
    <row r="84" spans="2:24" s="641" customFormat="1" outlineLevel="1">
      <c r="C84" s="685" t="s">
        <v>728</v>
      </c>
      <c r="D84" s="686"/>
      <c r="E84" s="687"/>
      <c r="F84" s="687"/>
      <c r="G84" s="686"/>
      <c r="H84" s="686"/>
      <c r="I84" s="686"/>
      <c r="J84" s="686"/>
      <c r="K84" s="686"/>
      <c r="L84" s="687"/>
      <c r="M84" s="99">
        <v>0</v>
      </c>
      <c r="N84" s="99">
        <v>-2</v>
      </c>
      <c r="O84" s="99">
        <v>0</v>
      </c>
      <c r="P84" s="99"/>
      <c r="Q84" s="99"/>
      <c r="R84" s="99"/>
      <c r="S84" s="349"/>
      <c r="T84" s="351"/>
      <c r="U84" s="342"/>
      <c r="V84" s="100"/>
      <c r="X84" s="263"/>
    </row>
    <row r="85" spans="2:24" s="641" customFormat="1" outlineLevel="1">
      <c r="C85" s="685" t="s">
        <v>729</v>
      </c>
      <c r="D85" s="686"/>
      <c r="E85" s="694"/>
      <c r="F85" s="694"/>
      <c r="G85" s="686"/>
      <c r="H85" s="686"/>
      <c r="I85" s="686"/>
      <c r="J85" s="686"/>
      <c r="K85" s="686"/>
      <c r="L85" s="686"/>
      <c r="M85" s="99">
        <v>-0.70269617999999967</v>
      </c>
      <c r="N85" s="99"/>
      <c r="O85" s="99"/>
      <c r="P85" s="99"/>
      <c r="Q85" s="99"/>
      <c r="R85" s="99"/>
      <c r="S85" s="349"/>
      <c r="T85" s="351"/>
      <c r="U85" s="342"/>
      <c r="V85" s="100"/>
      <c r="X85" s="263"/>
    </row>
    <row r="86" spans="2:24" s="641" customFormat="1" outlineLevel="1">
      <c r="C86" s="692" t="s">
        <v>710</v>
      </c>
      <c r="D86" s="693"/>
      <c r="E86" s="694"/>
      <c r="F86" s="694"/>
      <c r="G86" s="686"/>
      <c r="H86" s="686"/>
      <c r="I86" s="686"/>
      <c r="J86" s="686"/>
      <c r="K86" s="686"/>
      <c r="L86" s="687"/>
      <c r="M86" s="99"/>
      <c r="N86" s="99"/>
      <c r="O86" s="99"/>
      <c r="P86" s="99"/>
      <c r="Q86" s="99"/>
      <c r="R86" s="99"/>
      <c r="S86" s="349"/>
      <c r="T86" s="355"/>
      <c r="U86" s="345"/>
      <c r="V86" s="106"/>
      <c r="X86" s="263"/>
    </row>
    <row r="87" spans="2:24" s="641" customFormat="1" outlineLevel="1">
      <c r="C87" s="695" t="s">
        <v>730</v>
      </c>
      <c r="D87" s="686"/>
      <c r="E87" s="687"/>
      <c r="F87" s="687"/>
      <c r="G87" s="686"/>
      <c r="H87" s="686"/>
      <c r="I87" s="686"/>
      <c r="J87" s="686"/>
      <c r="K87" s="686"/>
      <c r="L87" s="687"/>
      <c r="M87" s="743">
        <v>-4.8248875499999997</v>
      </c>
      <c r="N87" s="744">
        <v>-10.043079310000003</v>
      </c>
      <c r="O87" s="744">
        <v>-16.177330599999998</v>
      </c>
      <c r="P87" s="744">
        <v>-9</v>
      </c>
      <c r="Q87" s="744">
        <v>-15.91308604532419</v>
      </c>
      <c r="R87" s="744">
        <v>-12.914189124719179</v>
      </c>
      <c r="S87" s="745">
        <v>0</v>
      </c>
      <c r="T87" s="746">
        <v>-1.2585613828203506</v>
      </c>
      <c r="U87" s="747">
        <v>-9.7149311319119658</v>
      </c>
      <c r="V87" s="744">
        <v>-8.0266370981509655E-2</v>
      </c>
      <c r="X87" s="696">
        <f t="shared" ref="X87" si="5">SUM(X82:X86)</f>
        <v>0</v>
      </c>
    </row>
    <row r="88" spans="2:24" s="641" customFormat="1" outlineLevel="1">
      <c r="C88" s="707"/>
      <c r="D88" s="699"/>
      <c r="E88" s="700"/>
      <c r="F88" s="700"/>
      <c r="G88" s="699"/>
      <c r="H88" s="699"/>
      <c r="I88" s="699"/>
      <c r="J88" s="699"/>
      <c r="K88" s="699"/>
      <c r="L88" s="700"/>
      <c r="M88" s="701"/>
      <c r="N88" s="701"/>
      <c r="O88" s="701"/>
      <c r="P88" s="701"/>
      <c r="Q88" s="701"/>
      <c r="R88" s="701"/>
      <c r="S88" s="701"/>
      <c r="T88" s="702"/>
      <c r="U88" s="701"/>
      <c r="V88" s="701"/>
      <c r="X88" s="701"/>
    </row>
    <row r="89" spans="2:24" s="641" customFormat="1" outlineLevel="1">
      <c r="C89" s="708" t="s">
        <v>731</v>
      </c>
      <c r="D89" s="709"/>
      <c r="E89" s="709"/>
      <c r="F89" s="709"/>
      <c r="G89" s="704"/>
      <c r="H89" s="704"/>
      <c r="I89" s="704"/>
      <c r="J89" s="704"/>
      <c r="K89" s="704"/>
      <c r="L89" s="705"/>
      <c r="T89" s="676"/>
    </row>
    <row r="90" spans="2:24" s="641" customFormat="1" outlineLevel="1">
      <c r="C90" s="710" t="s">
        <v>732</v>
      </c>
      <c r="D90" s="710"/>
      <c r="E90" s="710"/>
      <c r="F90" s="710"/>
      <c r="G90" s="686"/>
      <c r="H90" s="686"/>
      <c r="I90" s="686"/>
      <c r="J90" s="686"/>
      <c r="K90" s="686"/>
      <c r="L90" s="686"/>
      <c r="M90" s="776">
        <v>165.82488755</v>
      </c>
      <c r="N90" s="777">
        <v>162.04307931</v>
      </c>
      <c r="O90" s="777">
        <v>172.1773306</v>
      </c>
      <c r="P90" s="777">
        <v>133.22678533797136</v>
      </c>
      <c r="Q90" s="777">
        <v>163.37641700078763</v>
      </c>
      <c r="R90" s="777">
        <v>120.20969242132641</v>
      </c>
      <c r="S90" s="778">
        <v>122.22748736023114</v>
      </c>
      <c r="T90" s="779">
        <v>120.90954008960037</v>
      </c>
      <c r="U90" s="780">
        <v>103.10788856939675</v>
      </c>
      <c r="V90" s="777">
        <v>102.50678836935346</v>
      </c>
      <c r="X90" s="690">
        <f t="shared" ref="X90" si="6">X75</f>
        <v>0</v>
      </c>
    </row>
    <row r="91" spans="2:24" s="641" customFormat="1" ht="12.75" customHeight="1" outlineLevel="1">
      <c r="C91" s="710" t="s">
        <v>733</v>
      </c>
      <c r="D91" s="711"/>
      <c r="E91" s="711"/>
      <c r="F91" s="711"/>
      <c r="G91" s="686"/>
      <c r="H91" s="686"/>
      <c r="I91" s="686"/>
      <c r="J91" s="686"/>
      <c r="K91" s="686"/>
      <c r="L91" s="686"/>
      <c r="M91" s="755">
        <v>-4.8248875499999997</v>
      </c>
      <c r="N91" s="756">
        <v>-10.043079310000003</v>
      </c>
      <c r="O91" s="756">
        <v>-16.177330599999998</v>
      </c>
      <c r="P91" s="756">
        <v>-9</v>
      </c>
      <c r="Q91" s="756">
        <v>-15.91308604532419</v>
      </c>
      <c r="R91" s="756">
        <v>-12.914189124719179</v>
      </c>
      <c r="S91" s="757">
        <v>0</v>
      </c>
      <c r="T91" s="758">
        <v>-1.2585613828203506</v>
      </c>
      <c r="U91" s="759">
        <v>-9.7149311319119658</v>
      </c>
      <c r="V91" s="756">
        <v>-8.0266370981509655E-2</v>
      </c>
      <c r="X91" s="690">
        <f t="shared" ref="X91" si="7">X87</f>
        <v>0</v>
      </c>
    </row>
    <row r="92" spans="2:24" s="641" customFormat="1" outlineLevel="1">
      <c r="C92" s="710" t="s">
        <v>734</v>
      </c>
      <c r="D92" s="710"/>
      <c r="E92" s="710"/>
      <c r="F92" s="710"/>
      <c r="G92" s="686"/>
      <c r="H92" s="686"/>
      <c r="I92" s="686"/>
      <c r="J92" s="686"/>
      <c r="K92" s="686"/>
      <c r="L92" s="686"/>
      <c r="M92" s="748">
        <v>161</v>
      </c>
      <c r="N92" s="749">
        <v>152</v>
      </c>
      <c r="O92" s="749">
        <v>156</v>
      </c>
      <c r="P92" s="749">
        <v>124.22678533797136</v>
      </c>
      <c r="Q92" s="749">
        <v>147.46333095546345</v>
      </c>
      <c r="R92" s="749">
        <v>107.29550329660722</v>
      </c>
      <c r="S92" s="750">
        <v>122.22748736023114</v>
      </c>
      <c r="T92" s="751">
        <v>119.65097870678002</v>
      </c>
      <c r="U92" s="752">
        <v>93.392957437484782</v>
      </c>
      <c r="V92" s="749">
        <v>102.42652199837195</v>
      </c>
      <c r="X92" s="696">
        <f t="shared" ref="X92" si="8">SUM(X90:X91)</f>
        <v>0</v>
      </c>
    </row>
    <row r="93" spans="2:24" s="641" customFormat="1" outlineLevel="1">
      <c r="C93" s="699"/>
      <c r="D93" s="699"/>
      <c r="E93" s="699"/>
      <c r="F93" s="699"/>
      <c r="G93" s="699"/>
      <c r="H93" s="699"/>
      <c r="I93" s="699"/>
      <c r="J93" s="699"/>
      <c r="K93" s="699"/>
      <c r="L93" s="699"/>
      <c r="T93" s="676"/>
    </row>
    <row r="94" spans="2:24" s="641" customFormat="1" outlineLevel="1">
      <c r="B94" s="712"/>
      <c r="C94" s="713" t="s">
        <v>735</v>
      </c>
      <c r="D94" s="713"/>
      <c r="E94" s="704"/>
      <c r="F94" s="704"/>
      <c r="G94" s="704"/>
      <c r="H94" s="704"/>
      <c r="I94" s="704"/>
      <c r="J94" s="704"/>
      <c r="K94" s="704"/>
      <c r="L94" s="704"/>
      <c r="T94" s="676"/>
    </row>
    <row r="95" spans="2:24" s="641" customFormat="1" outlineLevel="1">
      <c r="B95" s="712"/>
      <c r="C95" s="686" t="s">
        <v>736</v>
      </c>
      <c r="D95" s="686"/>
      <c r="E95" s="686"/>
      <c r="F95" s="686"/>
      <c r="G95" s="686"/>
      <c r="H95" s="686"/>
      <c r="I95" s="686"/>
      <c r="J95" s="686"/>
      <c r="K95" s="686"/>
      <c r="L95" s="686"/>
      <c r="M95" s="116"/>
      <c r="N95" s="117"/>
      <c r="O95" s="117"/>
      <c r="P95" s="117"/>
      <c r="Q95" s="117"/>
      <c r="R95" s="117"/>
      <c r="S95" s="118"/>
      <c r="T95" s="356"/>
      <c r="U95" s="346"/>
      <c r="V95" s="117"/>
    </row>
    <row r="96" spans="2:24" s="641" customFormat="1" outlineLevel="1">
      <c r="B96" s="712"/>
      <c r="C96" s="686" t="s">
        <v>737</v>
      </c>
      <c r="D96" s="686"/>
      <c r="E96" s="686"/>
      <c r="F96" s="686"/>
      <c r="G96" s="686"/>
      <c r="H96" s="686"/>
      <c r="I96" s="686"/>
      <c r="J96" s="686"/>
      <c r="K96" s="686"/>
      <c r="L96" s="686"/>
      <c r="M96" s="55">
        <v>1</v>
      </c>
      <c r="N96" s="56">
        <v>1</v>
      </c>
      <c r="O96" s="56">
        <v>1</v>
      </c>
      <c r="P96" s="56">
        <v>1</v>
      </c>
      <c r="Q96" s="56">
        <v>1</v>
      </c>
      <c r="R96" s="56">
        <v>1</v>
      </c>
      <c r="S96" s="57">
        <v>1</v>
      </c>
      <c r="T96" s="357">
        <v>1</v>
      </c>
      <c r="U96" s="347">
        <v>1</v>
      </c>
      <c r="V96" s="56">
        <v>1</v>
      </c>
    </row>
    <row r="97" spans="3:22" s="641" customFormat="1" outlineLevel="1">
      <c r="C97" s="699"/>
      <c r="D97" s="699"/>
      <c r="E97" s="699"/>
      <c r="F97" s="699"/>
      <c r="G97" s="699"/>
      <c r="H97" s="699"/>
      <c r="I97" s="699"/>
      <c r="J97" s="699"/>
      <c r="K97" s="699"/>
      <c r="L97" s="699"/>
      <c r="T97" s="676"/>
    </row>
    <row r="98" spans="3:22" s="641" customFormat="1" outlineLevel="1">
      <c r="C98" s="708" t="s">
        <v>738</v>
      </c>
      <c r="D98" s="709"/>
      <c r="E98" s="709"/>
      <c r="F98" s="709"/>
      <c r="G98" s="704"/>
      <c r="H98" s="704"/>
      <c r="I98" s="704"/>
      <c r="J98" s="704"/>
      <c r="K98" s="704"/>
      <c r="L98" s="704"/>
      <c r="T98" s="676"/>
    </row>
    <row r="99" spans="3:22" s="641" customFormat="1" outlineLevel="1">
      <c r="C99" s="710" t="s">
        <v>734</v>
      </c>
      <c r="D99" s="710"/>
      <c r="E99" s="710"/>
      <c r="F99" s="710"/>
      <c r="G99" s="686"/>
      <c r="H99" s="686"/>
      <c r="I99" s="686"/>
      <c r="J99" s="686"/>
      <c r="K99" s="686"/>
      <c r="L99" s="686"/>
      <c r="M99" s="776">
        <v>161</v>
      </c>
      <c r="N99" s="777">
        <v>152</v>
      </c>
      <c r="O99" s="777">
        <v>156</v>
      </c>
      <c r="P99" s="777">
        <v>124.22678533797136</v>
      </c>
      <c r="Q99" s="777">
        <v>147.46333095546345</v>
      </c>
      <c r="R99" s="777">
        <v>107.29550329660722</v>
      </c>
      <c r="S99" s="778">
        <v>122.22748736023114</v>
      </c>
      <c r="T99" s="779">
        <v>119.65097870678002</v>
      </c>
      <c r="U99" s="780">
        <v>93.392957437484782</v>
      </c>
      <c r="V99" s="777">
        <v>102.42652199837195</v>
      </c>
    </row>
    <row r="100" spans="3:22" s="641" customFormat="1" ht="12.75" customHeight="1" outlineLevel="1">
      <c r="C100" s="710" t="s">
        <v>739</v>
      </c>
      <c r="D100" s="711"/>
      <c r="E100" s="711"/>
      <c r="F100" s="711"/>
      <c r="G100" s="686"/>
      <c r="H100" s="686"/>
      <c r="I100" s="686"/>
      <c r="J100" s="686"/>
      <c r="K100" s="686"/>
      <c r="L100" s="686"/>
      <c r="M100" s="99">
        <v>4</v>
      </c>
      <c r="N100" s="99">
        <v>6</v>
      </c>
      <c r="O100" s="99">
        <v>7</v>
      </c>
      <c r="P100" s="99"/>
      <c r="Q100" s="99"/>
      <c r="R100" s="99"/>
      <c r="S100" s="349"/>
      <c r="T100" s="353"/>
      <c r="U100" s="342"/>
      <c r="V100" s="99"/>
    </row>
    <row r="101" spans="3:22" s="641" customFormat="1" ht="12.75" customHeight="1" outlineLevel="1">
      <c r="C101" s="710" t="s">
        <v>740</v>
      </c>
      <c r="D101" s="711"/>
      <c r="E101" s="711"/>
      <c r="F101" s="711"/>
      <c r="G101" s="686"/>
      <c r="H101" s="686"/>
      <c r="I101" s="686"/>
      <c r="J101" s="686"/>
      <c r="K101" s="686"/>
      <c r="L101" s="686"/>
      <c r="M101" s="99">
        <v>-0.11430378000000019</v>
      </c>
      <c r="N101" s="99">
        <v>-7</v>
      </c>
      <c r="O101" s="99">
        <v>-12</v>
      </c>
      <c r="P101" s="99"/>
      <c r="Q101" s="99"/>
      <c r="R101" s="99"/>
      <c r="S101" s="349"/>
      <c r="T101" s="353"/>
      <c r="U101" s="342"/>
      <c r="V101" s="99"/>
    </row>
    <row r="102" spans="3:22" s="641" customFormat="1" ht="12.75" customHeight="1" outlineLevel="1">
      <c r="C102" s="710" t="s">
        <v>741</v>
      </c>
      <c r="D102" s="711"/>
      <c r="E102" s="711"/>
      <c r="F102" s="711"/>
      <c r="G102" s="686"/>
      <c r="H102" s="686"/>
      <c r="I102" s="686"/>
      <c r="J102" s="686"/>
      <c r="K102" s="686"/>
      <c r="L102" s="686"/>
      <c r="M102" s="99"/>
      <c r="N102" s="99"/>
      <c r="O102" s="99"/>
      <c r="P102" s="99"/>
      <c r="Q102" s="99"/>
      <c r="R102" s="99"/>
      <c r="S102" s="349"/>
      <c r="T102" s="353"/>
      <c r="U102" s="342"/>
      <c r="V102" s="99"/>
    </row>
    <row r="103" spans="3:22" s="641" customFormat="1" ht="12.75" customHeight="1" outlineLevel="1">
      <c r="C103" s="710" t="s">
        <v>742</v>
      </c>
      <c r="D103" s="711"/>
      <c r="E103" s="711"/>
      <c r="F103" s="711"/>
      <c r="G103" s="686"/>
      <c r="H103" s="686"/>
      <c r="I103" s="686"/>
      <c r="J103" s="686"/>
      <c r="K103" s="686"/>
      <c r="L103" s="686"/>
      <c r="M103" s="99"/>
      <c r="N103" s="99"/>
      <c r="O103" s="99"/>
      <c r="P103" s="99"/>
      <c r="Q103" s="99"/>
      <c r="R103" s="99"/>
      <c r="S103" s="349"/>
      <c r="T103" s="353"/>
      <c r="U103" s="342"/>
      <c r="V103" s="99"/>
    </row>
    <row r="104" spans="3:22" s="641" customFormat="1" ht="12.75" customHeight="1" outlineLevel="1">
      <c r="C104" s="710" t="s">
        <v>743</v>
      </c>
      <c r="D104" s="711"/>
      <c r="E104" s="711"/>
      <c r="F104" s="711"/>
      <c r="G104" s="686"/>
      <c r="H104" s="686"/>
      <c r="I104" s="686"/>
      <c r="J104" s="686"/>
      <c r="K104" s="686"/>
      <c r="L104" s="686"/>
      <c r="M104" s="99">
        <v>19.982959999999999</v>
      </c>
      <c r="N104" s="99">
        <v>0</v>
      </c>
      <c r="O104" s="99">
        <v>0</v>
      </c>
      <c r="P104" s="99"/>
      <c r="Q104" s="99"/>
      <c r="R104" s="99"/>
      <c r="S104" s="349"/>
      <c r="T104" s="353"/>
      <c r="U104" s="342"/>
      <c r="V104" s="99"/>
    </row>
    <row r="105" spans="3:22" s="641" customFormat="1" ht="12.75" customHeight="1" outlineLevel="1">
      <c r="C105" s="710" t="s">
        <v>744</v>
      </c>
      <c r="D105" s="711"/>
      <c r="E105" s="711"/>
      <c r="F105" s="711"/>
      <c r="G105" s="686"/>
      <c r="H105" s="686"/>
      <c r="I105" s="686"/>
      <c r="J105" s="686"/>
      <c r="K105" s="686"/>
      <c r="L105" s="686"/>
      <c r="M105" s="99"/>
      <c r="N105" s="99"/>
      <c r="O105" s="99"/>
      <c r="P105" s="99"/>
      <c r="Q105" s="99"/>
      <c r="R105" s="99"/>
      <c r="S105" s="349"/>
      <c r="T105" s="353"/>
      <c r="U105" s="342"/>
      <c r="V105" s="99"/>
    </row>
    <row r="106" spans="3:22" s="641" customFormat="1" ht="12.75" customHeight="1" outlineLevel="1">
      <c r="C106" s="710" t="s">
        <v>745</v>
      </c>
      <c r="D106" s="711"/>
      <c r="E106" s="711"/>
      <c r="F106" s="711"/>
      <c r="G106" s="686"/>
      <c r="H106" s="686"/>
      <c r="I106" s="686"/>
      <c r="J106" s="686"/>
      <c r="K106" s="686"/>
      <c r="L106" s="686"/>
      <c r="M106" s="99">
        <v>-1.59017078</v>
      </c>
      <c r="N106" s="99">
        <v>-1.23316603</v>
      </c>
      <c r="O106" s="99">
        <v>-1.2954517516994741</v>
      </c>
      <c r="P106" s="99">
        <v>-1.1833922664585095</v>
      </c>
      <c r="Q106" s="99">
        <v>-1.7388550215521097</v>
      </c>
      <c r="R106" s="99">
        <v>-1.7667924931414047</v>
      </c>
      <c r="S106" s="99">
        <v>-1.6596653294297328</v>
      </c>
      <c r="T106" s="99">
        <v>-1.8788118544009746</v>
      </c>
      <c r="U106" s="99">
        <v>-1.8834748574194866</v>
      </c>
      <c r="V106" s="99">
        <v>-1.9337055961529737</v>
      </c>
    </row>
    <row r="107" spans="3:22" s="641" customFormat="1" ht="12.75" customHeight="1" outlineLevel="1">
      <c r="C107" s="710" t="s">
        <v>746</v>
      </c>
      <c r="D107" s="711"/>
      <c r="E107" s="711"/>
      <c r="F107" s="711"/>
      <c r="G107" s="686"/>
      <c r="H107" s="686"/>
      <c r="I107" s="686"/>
      <c r="J107" s="686"/>
      <c r="K107" s="686"/>
      <c r="L107" s="686"/>
      <c r="M107" s="99">
        <v>-0.6658987943835617</v>
      </c>
      <c r="N107" s="99">
        <v>-0.22601902000000001</v>
      </c>
      <c r="O107" s="99">
        <v>-0.52084678000000006</v>
      </c>
      <c r="P107" s="99"/>
      <c r="Q107" s="99"/>
      <c r="R107" s="99"/>
      <c r="S107" s="99"/>
      <c r="T107" s="99"/>
      <c r="U107" s="99"/>
      <c r="V107" s="99"/>
    </row>
    <row r="108" spans="3:22" s="641" customFormat="1" outlineLevel="1">
      <c r="C108" s="1344" t="s">
        <v>1175</v>
      </c>
      <c r="D108" s="714"/>
      <c r="E108" s="321"/>
      <c r="F108" s="321"/>
      <c r="G108" s="686"/>
      <c r="H108" s="686"/>
      <c r="I108" s="686"/>
      <c r="J108" s="686"/>
      <c r="K108" s="686"/>
      <c r="L108" s="686"/>
      <c r="M108" s="99">
        <v>-0.13303300000000001</v>
      </c>
      <c r="N108" s="99">
        <v>-0.30235216999999998</v>
      </c>
      <c r="O108" s="99">
        <v>-0.21635531</v>
      </c>
      <c r="P108" s="99"/>
      <c r="Q108" s="99"/>
      <c r="R108" s="99"/>
      <c r="S108" s="349"/>
      <c r="T108" s="353"/>
      <c r="U108" s="342"/>
      <c r="V108" s="99"/>
    </row>
    <row r="109" spans="3:22" s="641" customFormat="1" outlineLevel="1">
      <c r="C109" s="1346" t="s">
        <v>1176</v>
      </c>
      <c r="D109" s="714"/>
      <c r="E109" s="321"/>
      <c r="F109" s="321"/>
      <c r="G109" s="686"/>
      <c r="H109" s="686"/>
      <c r="I109" s="686"/>
      <c r="J109" s="686"/>
      <c r="K109" s="686"/>
      <c r="L109" s="686"/>
      <c r="M109" s="99">
        <v>-32.368070905127219</v>
      </c>
      <c r="N109" s="99">
        <v>58.8334476523722</v>
      </c>
      <c r="O109" s="99">
        <v>13.173369807065333</v>
      </c>
      <c r="P109" s="99"/>
      <c r="Q109" s="99"/>
      <c r="R109" s="99"/>
      <c r="S109" s="349"/>
      <c r="T109" s="353"/>
      <c r="U109" s="342"/>
      <c r="V109" s="99"/>
    </row>
    <row r="110" spans="3:22" s="641" customFormat="1" outlineLevel="1">
      <c r="C110" s="322" t="s">
        <v>747</v>
      </c>
      <c r="D110" s="714"/>
      <c r="E110" s="321"/>
      <c r="F110" s="321"/>
      <c r="G110" s="686"/>
      <c r="H110" s="686"/>
      <c r="I110" s="686"/>
      <c r="J110" s="686"/>
      <c r="K110" s="686"/>
      <c r="L110" s="686"/>
      <c r="M110" s="99"/>
      <c r="N110" s="99"/>
      <c r="O110" s="99"/>
      <c r="P110" s="99"/>
      <c r="Q110" s="99"/>
      <c r="R110" s="99"/>
      <c r="S110" s="349"/>
      <c r="T110" s="353"/>
      <c r="U110" s="342"/>
      <c r="V110" s="99"/>
    </row>
    <row r="111" spans="3:22" s="641" customFormat="1" outlineLevel="1">
      <c r="C111" s="322" t="s">
        <v>747</v>
      </c>
      <c r="D111" s="714"/>
      <c r="E111" s="321"/>
      <c r="F111" s="321"/>
      <c r="G111" s="686"/>
      <c r="H111" s="686"/>
      <c r="I111" s="686"/>
      <c r="J111" s="686"/>
      <c r="K111" s="686"/>
      <c r="L111" s="686"/>
      <c r="M111" s="99"/>
      <c r="N111" s="99"/>
      <c r="O111" s="99"/>
      <c r="P111" s="99"/>
      <c r="Q111" s="99"/>
      <c r="R111" s="99"/>
      <c r="S111" s="349"/>
      <c r="T111" s="353"/>
      <c r="U111" s="342"/>
      <c r="V111" s="99"/>
    </row>
    <row r="112" spans="3:22" s="641" customFormat="1" outlineLevel="1">
      <c r="C112" s="322" t="s">
        <v>747</v>
      </c>
      <c r="D112" s="714"/>
      <c r="E112" s="321"/>
      <c r="F112" s="321"/>
      <c r="G112" s="686"/>
      <c r="H112" s="686"/>
      <c r="I112" s="686"/>
      <c r="J112" s="686"/>
      <c r="K112" s="686"/>
      <c r="L112" s="686"/>
      <c r="M112" s="99"/>
      <c r="N112" s="99"/>
      <c r="O112" s="99"/>
      <c r="P112" s="99"/>
      <c r="Q112" s="99"/>
      <c r="R112" s="99"/>
      <c r="S112" s="349"/>
      <c r="T112" s="353"/>
      <c r="U112" s="342"/>
      <c r="V112" s="99"/>
    </row>
    <row r="113" spans="3:23" s="641" customFormat="1" outlineLevel="1">
      <c r="C113" s="322" t="s">
        <v>747</v>
      </c>
      <c r="D113" s="714"/>
      <c r="E113" s="321"/>
      <c r="F113" s="321"/>
      <c r="G113" s="686"/>
      <c r="H113" s="686"/>
      <c r="I113" s="686"/>
      <c r="J113" s="686"/>
      <c r="K113" s="686"/>
      <c r="L113" s="686"/>
      <c r="M113" s="99"/>
      <c r="N113" s="99"/>
      <c r="O113" s="99"/>
      <c r="P113" s="99"/>
      <c r="Q113" s="99"/>
      <c r="R113" s="99"/>
      <c r="S113" s="349"/>
      <c r="T113" s="353"/>
      <c r="U113" s="342"/>
      <c r="V113" s="99"/>
    </row>
    <row r="114" spans="3:23" s="641" customFormat="1" outlineLevel="1">
      <c r="C114" s="322" t="s">
        <v>747</v>
      </c>
      <c r="D114" s="714"/>
      <c r="E114" s="321"/>
      <c r="F114" s="321"/>
      <c r="G114" s="686"/>
      <c r="H114" s="686"/>
      <c r="I114" s="686"/>
      <c r="J114" s="686"/>
      <c r="K114" s="686"/>
      <c r="L114" s="686"/>
      <c r="M114" s="99"/>
      <c r="N114" s="99"/>
      <c r="O114" s="99"/>
      <c r="P114" s="99"/>
      <c r="Q114" s="99"/>
      <c r="R114" s="99"/>
      <c r="S114" s="349"/>
      <c r="T114" s="353"/>
      <c r="U114" s="342"/>
      <c r="V114" s="99"/>
    </row>
    <row r="115" spans="3:23" s="641" customFormat="1" outlineLevel="1">
      <c r="C115" s="322" t="s">
        <v>747</v>
      </c>
      <c r="D115" s="714"/>
      <c r="E115" s="321"/>
      <c r="F115" s="321"/>
      <c r="G115" s="686"/>
      <c r="H115" s="686"/>
      <c r="I115" s="686"/>
      <c r="J115" s="686"/>
      <c r="K115" s="686"/>
      <c r="L115" s="686"/>
      <c r="M115" s="99"/>
      <c r="N115" s="99"/>
      <c r="O115" s="99"/>
      <c r="P115" s="99"/>
      <c r="Q115" s="99"/>
      <c r="R115" s="99"/>
      <c r="S115" s="349"/>
      <c r="T115" s="353"/>
      <c r="U115" s="342"/>
      <c r="V115" s="99"/>
    </row>
    <row r="116" spans="3:23" s="641" customFormat="1" outlineLevel="1">
      <c r="C116" s="322" t="s">
        <v>747</v>
      </c>
      <c r="D116" s="714"/>
      <c r="E116" s="321"/>
      <c r="F116" s="321"/>
      <c r="G116" s="686"/>
      <c r="H116" s="686"/>
      <c r="I116" s="686"/>
      <c r="J116" s="686"/>
      <c r="K116" s="686"/>
      <c r="L116" s="686"/>
      <c r="M116" s="99"/>
      <c r="N116" s="99"/>
      <c r="O116" s="99"/>
      <c r="P116" s="99"/>
      <c r="Q116" s="99"/>
      <c r="R116" s="99"/>
      <c r="S116" s="349"/>
      <c r="T116" s="353"/>
      <c r="U116" s="342"/>
      <c r="V116" s="99"/>
    </row>
    <row r="117" spans="3:23" s="641" customFormat="1" ht="12.75" customHeight="1" outlineLevel="1">
      <c r="C117" s="715" t="s">
        <v>568</v>
      </c>
      <c r="D117" s="716"/>
      <c r="E117" s="716"/>
      <c r="F117" s="716"/>
      <c r="G117" s="686"/>
      <c r="H117" s="686"/>
      <c r="I117" s="686"/>
      <c r="J117" s="686"/>
      <c r="K117" s="686"/>
      <c r="L117" s="686"/>
      <c r="M117" s="743">
        <v>150.11148274048921</v>
      </c>
      <c r="N117" s="744">
        <v>208.07191043237219</v>
      </c>
      <c r="O117" s="744">
        <v>162.14071596536584</v>
      </c>
      <c r="P117" s="744">
        <v>123.04339307151285</v>
      </c>
      <c r="Q117" s="744">
        <v>145.72447593391135</v>
      </c>
      <c r="R117" s="744">
        <v>105.52871080346581</v>
      </c>
      <c r="S117" s="745">
        <v>120.56782203080141</v>
      </c>
      <c r="T117" s="746">
        <v>117.77216685237904</v>
      </c>
      <c r="U117" s="747">
        <v>91.509482580065296</v>
      </c>
      <c r="V117" s="744">
        <v>100.49281640221898</v>
      </c>
    </row>
    <row r="118" spans="3:23" s="641" customFormat="1" outlineLevel="1">
      <c r="C118" s="717"/>
      <c r="D118" s="718"/>
      <c r="E118" s="718"/>
      <c r="F118" s="718"/>
      <c r="G118" s="699"/>
      <c r="H118" s="699"/>
      <c r="I118" s="699"/>
      <c r="J118" s="699"/>
      <c r="K118" s="699"/>
      <c r="L118" s="699"/>
      <c r="T118" s="676"/>
    </row>
    <row r="119" spans="3:23" s="641" customFormat="1" outlineLevel="1">
      <c r="C119" s="710" t="s">
        <v>748</v>
      </c>
      <c r="D119" s="710"/>
      <c r="E119" s="710"/>
      <c r="F119" s="710"/>
      <c r="M119" s="781">
        <v>1.59017078</v>
      </c>
      <c r="N119" s="781">
        <v>1.23316603</v>
      </c>
      <c r="O119" s="781">
        <v>1.2954517516994741</v>
      </c>
      <c r="P119" s="781">
        <v>1.1833922664585095</v>
      </c>
      <c r="Q119" s="781">
        <v>1.7388550215521097</v>
      </c>
      <c r="R119" s="781">
        <v>1.7667924931414047</v>
      </c>
      <c r="S119" s="782">
        <v>1.6596653294297328</v>
      </c>
      <c r="T119" s="783">
        <v>1.8788118544009746</v>
      </c>
      <c r="U119" s="784">
        <v>1.8834748574194866</v>
      </c>
      <c r="V119" s="781">
        <v>1.9337055961529737</v>
      </c>
    </row>
    <row r="120" spans="3:23" s="641" customFormat="1" ht="12.75" customHeight="1" outlineLevel="1">
      <c r="C120" s="710" t="s">
        <v>749</v>
      </c>
      <c r="D120" s="711"/>
      <c r="E120" s="711"/>
      <c r="F120" s="711"/>
      <c r="G120" s="686"/>
      <c r="H120" s="686"/>
      <c r="I120" s="686"/>
      <c r="J120" s="686"/>
      <c r="K120" s="686"/>
      <c r="L120" s="686"/>
      <c r="M120" s="99"/>
      <c r="N120" s="99"/>
      <c r="O120" s="99"/>
      <c r="P120" s="99"/>
      <c r="Q120" s="99"/>
      <c r="R120" s="99"/>
      <c r="S120" s="349"/>
      <c r="T120" s="353"/>
      <c r="U120" s="342"/>
      <c r="V120" s="99"/>
    </row>
    <row r="121" spans="3:23" s="641" customFormat="1" outlineLevel="1">
      <c r="C121" s="710" t="s">
        <v>750</v>
      </c>
      <c r="D121" s="710"/>
      <c r="E121" s="710"/>
      <c r="F121" s="710"/>
      <c r="G121" s="686"/>
      <c r="H121" s="686"/>
      <c r="I121" s="686"/>
      <c r="J121" s="686"/>
      <c r="K121" s="686"/>
      <c r="L121" s="686"/>
      <c r="M121" s="99"/>
      <c r="N121" s="99"/>
      <c r="O121" s="99"/>
      <c r="P121" s="99"/>
      <c r="Q121" s="99"/>
      <c r="R121" s="99"/>
      <c r="S121" s="349"/>
      <c r="T121" s="353"/>
      <c r="U121" s="342"/>
      <c r="V121" s="99"/>
    </row>
    <row r="122" spans="3:23" s="641" customFormat="1" outlineLevel="1">
      <c r="C122" s="322" t="s">
        <v>747</v>
      </c>
      <c r="D122" s="714"/>
      <c r="E122" s="719"/>
      <c r="F122" s="719"/>
      <c r="M122" s="99"/>
      <c r="N122" s="99"/>
      <c r="O122" s="99"/>
      <c r="P122" s="99"/>
      <c r="Q122" s="99"/>
      <c r="R122" s="99"/>
      <c r="S122" s="349"/>
      <c r="T122" s="353"/>
      <c r="U122" s="342"/>
      <c r="V122" s="99"/>
    </row>
    <row r="123" spans="3:23" s="641" customFormat="1" outlineLevel="1">
      <c r="C123" s="322" t="s">
        <v>747</v>
      </c>
      <c r="D123" s="714"/>
      <c r="E123" s="719"/>
      <c r="F123" s="719"/>
      <c r="M123" s="99"/>
      <c r="N123" s="99"/>
      <c r="O123" s="99"/>
      <c r="P123" s="99"/>
      <c r="Q123" s="99"/>
      <c r="R123" s="99"/>
      <c r="S123" s="349"/>
      <c r="T123" s="353"/>
      <c r="U123" s="342"/>
      <c r="V123" s="99"/>
    </row>
    <row r="124" spans="3:23" s="641" customFormat="1" outlineLevel="1">
      <c r="C124" s="322" t="s">
        <v>747</v>
      </c>
      <c r="D124" s="714"/>
      <c r="E124" s="719"/>
      <c r="F124" s="719"/>
      <c r="M124" s="99"/>
      <c r="N124" s="99"/>
      <c r="O124" s="99"/>
      <c r="P124" s="99"/>
      <c r="Q124" s="99"/>
      <c r="R124" s="99"/>
      <c r="S124" s="349"/>
      <c r="T124" s="353"/>
      <c r="U124" s="342"/>
      <c r="V124" s="99"/>
    </row>
    <row r="125" spans="3:23" s="641" customFormat="1" outlineLevel="1">
      <c r="C125" s="322" t="s">
        <v>747</v>
      </c>
      <c r="D125" s="322"/>
      <c r="E125" s="320"/>
      <c r="F125" s="320"/>
      <c r="M125" s="99"/>
      <c r="N125" s="99"/>
      <c r="O125" s="99"/>
      <c r="P125" s="99"/>
      <c r="Q125" s="99"/>
      <c r="R125" s="99"/>
      <c r="S125" s="349"/>
      <c r="T125" s="353"/>
      <c r="U125" s="342"/>
      <c r="V125" s="99"/>
    </row>
    <row r="126" spans="3:23" s="721" customFormat="1" outlineLevel="1">
      <c r="C126" s="720" t="s">
        <v>676</v>
      </c>
      <c r="D126" s="121"/>
      <c r="E126" s="121"/>
      <c r="F126" s="121"/>
      <c r="M126" s="743">
        <v>1.59017078</v>
      </c>
      <c r="N126" s="743">
        <v>1.23316603</v>
      </c>
      <c r="O126" s="743">
        <v>1.2954517516994741</v>
      </c>
      <c r="P126" s="743">
        <v>1.1833922664585095</v>
      </c>
      <c r="Q126" s="743">
        <v>1.7388550215521097</v>
      </c>
      <c r="R126" s="743">
        <v>1.7667924931414047</v>
      </c>
      <c r="S126" s="785">
        <v>1.6596653294297328</v>
      </c>
      <c r="T126" s="786">
        <v>1.8788118544009746</v>
      </c>
      <c r="U126" s="747">
        <v>1.8834748574194866</v>
      </c>
      <c r="V126" s="743">
        <v>1.9337055961529737</v>
      </c>
      <c r="W126" s="641"/>
    </row>
    <row r="127" spans="3:23" s="721" customFormat="1" outlineLevel="1">
      <c r="C127" s="720"/>
      <c r="D127" s="121"/>
      <c r="E127" s="121"/>
      <c r="F127" s="121"/>
      <c r="M127" s="722"/>
      <c r="N127" s="722"/>
      <c r="O127" s="722"/>
      <c r="P127" s="722"/>
      <c r="Q127" s="722"/>
      <c r="R127" s="722"/>
      <c r="S127" s="722"/>
      <c r="T127" s="723"/>
      <c r="U127" s="722"/>
      <c r="V127" s="722"/>
      <c r="W127" s="641"/>
    </row>
    <row r="128" spans="3:23" s="641" customFormat="1" outlineLevel="1">
      <c r="C128" s="713" t="s">
        <v>751</v>
      </c>
      <c r="D128" s="704"/>
      <c r="E128" s="704"/>
      <c r="F128" s="704"/>
      <c r="G128" s="704"/>
      <c r="H128" s="704"/>
      <c r="I128" s="704"/>
      <c r="J128" s="704"/>
      <c r="K128" s="704"/>
      <c r="L128" s="704"/>
      <c r="T128" s="676"/>
    </row>
    <row r="129" spans="2:22" s="641" customFormat="1" outlineLevel="1">
      <c r="C129" s="686" t="s">
        <v>752</v>
      </c>
      <c r="D129" s="686"/>
      <c r="E129" s="686"/>
      <c r="F129" s="686"/>
      <c r="G129" s="686"/>
      <c r="H129" s="686"/>
      <c r="I129" s="686"/>
      <c r="J129" s="686"/>
      <c r="K129" s="686"/>
      <c r="L129" s="686"/>
      <c r="M129" s="724"/>
      <c r="N129" s="725"/>
      <c r="O129" s="725"/>
      <c r="P129" s="725"/>
      <c r="Q129" s="725"/>
      <c r="R129" s="725"/>
      <c r="S129" s="726"/>
      <c r="T129" s="727"/>
      <c r="U129" s="728"/>
      <c r="V129" s="725"/>
    </row>
    <row r="130" spans="2:22" s="641" customFormat="1" outlineLevel="1">
      <c r="C130" s="686" t="s">
        <v>737</v>
      </c>
      <c r="D130" s="686"/>
      <c r="E130" s="686"/>
      <c r="F130" s="686"/>
      <c r="G130" s="686"/>
      <c r="H130" s="686"/>
      <c r="I130" s="686"/>
      <c r="J130" s="686"/>
      <c r="K130" s="686"/>
      <c r="L130" s="686"/>
      <c r="M130" s="55">
        <v>1</v>
      </c>
      <c r="N130" s="56">
        <v>1</v>
      </c>
      <c r="O130" s="56">
        <v>1</v>
      </c>
      <c r="P130" s="56">
        <v>1</v>
      </c>
      <c r="Q130" s="56">
        <v>1</v>
      </c>
      <c r="R130" s="56">
        <v>1</v>
      </c>
      <c r="S130" s="57">
        <v>1</v>
      </c>
      <c r="T130" s="357">
        <v>1</v>
      </c>
      <c r="U130" s="347">
        <v>1</v>
      </c>
      <c r="V130" s="56">
        <v>1</v>
      </c>
    </row>
    <row r="131" spans="2:22" s="641" customFormat="1" outlineLevel="1">
      <c r="C131" s="717"/>
      <c r="D131" s="718"/>
      <c r="E131" s="718"/>
      <c r="F131" s="718"/>
      <c r="G131" s="699"/>
      <c r="H131" s="699"/>
      <c r="I131" s="699"/>
      <c r="J131" s="699"/>
      <c r="K131" s="699"/>
      <c r="L131" s="699"/>
      <c r="T131" s="676"/>
    </row>
    <row r="132" spans="2:22" s="641" customFormat="1" outlineLevel="1">
      <c r="C132" s="708" t="s">
        <v>753</v>
      </c>
      <c r="D132" s="709"/>
      <c r="E132" s="709"/>
      <c r="F132" s="709"/>
      <c r="G132" s="704"/>
      <c r="H132" s="704"/>
      <c r="I132" s="704"/>
      <c r="J132" s="704"/>
      <c r="K132" s="704"/>
      <c r="L132" s="704"/>
      <c r="T132" s="676"/>
    </row>
    <row r="133" spans="2:22" s="641" customFormat="1" ht="12.75" customHeight="1" outlineLevel="1">
      <c r="C133" s="710" t="s">
        <v>754</v>
      </c>
      <c r="D133" s="711"/>
      <c r="E133" s="711"/>
      <c r="F133" s="711"/>
      <c r="G133" s="686"/>
      <c r="H133" s="686"/>
      <c r="I133" s="686"/>
      <c r="J133" s="686"/>
      <c r="K133" s="686"/>
      <c r="L133" s="686"/>
      <c r="M133" s="787">
        <v>3015.4069798325518</v>
      </c>
      <c r="N133" s="788">
        <v>3117.8479732951837</v>
      </c>
      <c r="O133" s="788">
        <v>3251.5356706084031</v>
      </c>
      <c r="P133" s="788">
        <v>3242.6258644167447</v>
      </c>
      <c r="Q133" s="788">
        <v>2778.5183442598873</v>
      </c>
      <c r="R133" s="788">
        <v>2796.4526186119947</v>
      </c>
      <c r="S133" s="789">
        <v>2816.427744965677</v>
      </c>
      <c r="T133" s="790">
        <v>2431.0886981421418</v>
      </c>
      <c r="U133" s="791">
        <v>2451.1911453627959</v>
      </c>
      <c r="V133" s="788">
        <v>2395.7041294900064</v>
      </c>
    </row>
    <row r="134" spans="2:22" s="641" customFormat="1" ht="12.75" customHeight="1" outlineLevel="1">
      <c r="C134" s="710" t="s">
        <v>568</v>
      </c>
      <c r="D134" s="711"/>
      <c r="E134" s="711"/>
      <c r="F134" s="711"/>
      <c r="G134" s="686"/>
      <c r="H134" s="686"/>
      <c r="I134" s="686"/>
      <c r="J134" s="686"/>
      <c r="K134" s="686"/>
      <c r="L134" s="686"/>
      <c r="M134" s="792">
        <v>150.11148274048921</v>
      </c>
      <c r="N134" s="793">
        <v>208.07191043237219</v>
      </c>
      <c r="O134" s="793">
        <v>162.14071596536584</v>
      </c>
      <c r="P134" s="793">
        <v>123.04339307151285</v>
      </c>
      <c r="Q134" s="793">
        <v>145.72447593391135</v>
      </c>
      <c r="R134" s="793">
        <v>105.52871080346581</v>
      </c>
      <c r="S134" s="794">
        <v>120.56782203080141</v>
      </c>
      <c r="T134" s="795">
        <v>117.77216685237904</v>
      </c>
      <c r="U134" s="796">
        <v>91.509482580065296</v>
      </c>
      <c r="V134" s="793">
        <v>100.49281640221898</v>
      </c>
    </row>
    <row r="135" spans="2:22" s="641" customFormat="1">
      <c r="C135" s="699"/>
      <c r="D135" s="699"/>
      <c r="E135" s="699"/>
      <c r="F135" s="699"/>
      <c r="G135" s="699"/>
      <c r="H135" s="699"/>
      <c r="I135" s="699"/>
      <c r="J135" s="699"/>
      <c r="K135" s="699"/>
      <c r="L135" s="699"/>
      <c r="T135" s="676"/>
    </row>
    <row r="136" spans="2:22" s="641" customFormat="1">
      <c r="T136" s="676"/>
    </row>
    <row r="137" spans="2:22" s="641" customFormat="1" ht="15">
      <c r="B137" s="656" t="s">
        <v>755</v>
      </c>
      <c r="C137" s="657"/>
      <c r="D137" s="657"/>
      <c r="E137" s="657"/>
      <c r="F137" s="657"/>
      <c r="G137" s="657"/>
      <c r="H137" s="657"/>
      <c r="I137" s="657"/>
      <c r="J137" s="657"/>
      <c r="K137" s="657"/>
      <c r="L137" s="657"/>
      <c r="M137" s="657"/>
      <c r="N137" s="657"/>
      <c r="O137" s="657"/>
      <c r="P137" s="657"/>
      <c r="Q137" s="657"/>
      <c r="R137" s="657"/>
      <c r="S137" s="657"/>
      <c r="T137" s="659"/>
      <c r="U137" s="657"/>
      <c r="V137" s="657"/>
    </row>
    <row r="138" spans="2:22" s="641" customFormat="1" outlineLevel="1">
      <c r="B138" s="679" t="s">
        <v>756</v>
      </c>
      <c r="T138" s="676"/>
    </row>
    <row r="139" spans="2:22" s="641" customFormat="1" outlineLevel="1">
      <c r="C139" s="703" t="s">
        <v>757</v>
      </c>
      <c r="D139" s="704"/>
      <c r="E139" s="703"/>
      <c r="F139" s="705"/>
      <c r="G139" s="704"/>
      <c r="H139" s="704"/>
      <c r="I139" s="704"/>
      <c r="J139" s="704"/>
      <c r="K139" s="704"/>
      <c r="L139" s="704"/>
      <c r="M139" s="701"/>
      <c r="N139" s="701"/>
      <c r="O139" s="701"/>
      <c r="P139" s="701"/>
      <c r="Q139" s="701"/>
      <c r="R139" s="701"/>
      <c r="S139" s="701"/>
      <c r="T139" s="702"/>
      <c r="U139" s="701"/>
      <c r="V139" s="701"/>
    </row>
    <row r="140" spans="2:22" s="641" customFormat="1" outlineLevel="1">
      <c r="C140" s="685" t="s">
        <v>706</v>
      </c>
      <c r="D140" s="686"/>
      <c r="E140" s="687"/>
      <c r="F140" s="686"/>
      <c r="G140" s="686"/>
      <c r="H140" s="686"/>
      <c r="I140" s="686"/>
      <c r="J140" s="686"/>
      <c r="K140" s="686"/>
      <c r="L140" s="686"/>
      <c r="M140" s="96"/>
      <c r="N140" s="97"/>
      <c r="O140" s="97"/>
      <c r="P140" s="97"/>
      <c r="Q140" s="97"/>
      <c r="R140" s="97"/>
      <c r="S140" s="98"/>
      <c r="T140" s="354"/>
      <c r="U140" s="344"/>
      <c r="V140" s="97"/>
    </row>
    <row r="141" spans="2:22" s="641" customFormat="1" outlineLevel="1">
      <c r="C141" s="685" t="s">
        <v>707</v>
      </c>
      <c r="D141" s="686"/>
      <c r="E141" s="687"/>
      <c r="F141" s="687"/>
      <c r="G141" s="686"/>
      <c r="H141" s="686"/>
      <c r="I141" s="686"/>
      <c r="J141" s="686"/>
      <c r="K141" s="686"/>
      <c r="L141" s="686"/>
      <c r="M141" s="99"/>
      <c r="N141" s="100"/>
      <c r="O141" s="100"/>
      <c r="P141" s="100"/>
      <c r="Q141" s="100"/>
      <c r="R141" s="100"/>
      <c r="S141" s="101"/>
      <c r="T141" s="351"/>
      <c r="U141" s="342"/>
      <c r="V141" s="100"/>
    </row>
    <row r="142" spans="2:22" s="641" customFormat="1" outlineLevel="1">
      <c r="B142" s="664" t="str">
        <f t="shared" ref="B142:C144" si="9">B26</f>
        <v>B.</v>
      </c>
      <c r="C142" s="688" t="str">
        <f t="shared" si="9"/>
        <v>Bonds</v>
      </c>
      <c r="D142" s="688"/>
      <c r="E142" s="689"/>
      <c r="F142" s="689"/>
      <c r="G142" s="686"/>
      <c r="H142" s="686"/>
      <c r="I142" s="686"/>
      <c r="J142" s="686"/>
      <c r="K142" s="686"/>
      <c r="L142" s="686"/>
      <c r="M142" s="797">
        <v>83.747201529999998</v>
      </c>
      <c r="N142" s="797">
        <v>89.515170999999995</v>
      </c>
      <c r="O142" s="797">
        <v>109.34128300063884</v>
      </c>
      <c r="P142" s="797">
        <v>101.43299969547499</v>
      </c>
      <c r="Q142" s="797">
        <v>117.3661074986331</v>
      </c>
      <c r="R142" s="797">
        <v>128.06321711986917</v>
      </c>
      <c r="S142" s="798">
        <v>134.89918426870449</v>
      </c>
      <c r="T142" s="799">
        <v>141.77173009011875</v>
      </c>
      <c r="U142" s="800">
        <v>154.5457543548936</v>
      </c>
      <c r="V142" s="797">
        <v>166.10572719945191</v>
      </c>
    </row>
    <row r="143" spans="2:22" s="641" customFormat="1" outlineLevel="1">
      <c r="B143" s="664" t="str">
        <f t="shared" si="9"/>
        <v>C.</v>
      </c>
      <c r="C143" s="691" t="str">
        <f t="shared" si="9"/>
        <v>External Loans</v>
      </c>
      <c r="D143" s="688"/>
      <c r="E143" s="689"/>
      <c r="F143" s="689"/>
      <c r="G143" s="686"/>
      <c r="H143" s="686"/>
      <c r="I143" s="686"/>
      <c r="J143" s="686"/>
      <c r="K143" s="686"/>
      <c r="L143" s="686"/>
      <c r="M143" s="797">
        <v>0.54940343000000003</v>
      </c>
      <c r="N143" s="797">
        <v>0.60107636999999992</v>
      </c>
      <c r="O143" s="797">
        <v>1.2312042349726777</v>
      </c>
      <c r="P143" s="797">
        <v>0.65200000000000002</v>
      </c>
      <c r="Q143" s="797">
        <v>0.65200000000000002</v>
      </c>
      <c r="R143" s="797">
        <v>0.65200000000000002</v>
      </c>
      <c r="S143" s="798">
        <v>0.32112499999999999</v>
      </c>
      <c r="T143" s="799">
        <v>0.32112499999999999</v>
      </c>
      <c r="U143" s="800">
        <v>0.32112499999999999</v>
      </c>
      <c r="V143" s="797">
        <v>0.32112499999999999</v>
      </c>
    </row>
    <row r="144" spans="2:22" s="641" customFormat="1" outlineLevel="1">
      <c r="B144" s="664" t="str">
        <f t="shared" si="9"/>
        <v>D.</v>
      </c>
      <c r="C144" s="691" t="str">
        <f t="shared" si="9"/>
        <v>Private Placements</v>
      </c>
      <c r="D144" s="688"/>
      <c r="E144" s="689"/>
      <c r="F144" s="689"/>
      <c r="G144" s="686"/>
      <c r="H144" s="686"/>
      <c r="I144" s="686"/>
      <c r="J144" s="686"/>
      <c r="K144" s="686"/>
      <c r="L144" s="686"/>
      <c r="M144" s="797">
        <v>6.4774999999999991</v>
      </c>
      <c r="N144" s="797">
        <v>6.4774999999999991</v>
      </c>
      <c r="O144" s="797">
        <v>12.9046725</v>
      </c>
      <c r="P144" s="797">
        <v>13.580080619276481</v>
      </c>
      <c r="Q144" s="797">
        <v>13.903296926346494</v>
      </c>
      <c r="R144" s="797">
        <v>19.848051737752236</v>
      </c>
      <c r="S144" s="798">
        <v>21.524679622001322</v>
      </c>
      <c r="T144" s="799">
        <v>24.20853269958425</v>
      </c>
      <c r="U144" s="800">
        <v>25.567174989001995</v>
      </c>
      <c r="V144" s="797">
        <v>27.238098359892582</v>
      </c>
    </row>
    <row r="145" spans="2:22" s="641" customFormat="1" outlineLevel="1">
      <c r="B145" s="664" t="str">
        <f>B30</f>
        <v>F.</v>
      </c>
      <c r="C145" s="691" t="str">
        <f>C30</f>
        <v>Group company loans (licensee borrower)</v>
      </c>
      <c r="D145" s="688"/>
      <c r="E145" s="689"/>
      <c r="F145" s="689"/>
      <c r="G145" s="686"/>
      <c r="H145" s="686"/>
      <c r="I145" s="686"/>
      <c r="J145" s="686"/>
      <c r="K145" s="686"/>
      <c r="L145" s="686"/>
      <c r="M145" s="797">
        <v>0</v>
      </c>
      <c r="N145" s="797">
        <v>0</v>
      </c>
      <c r="O145" s="797">
        <v>0</v>
      </c>
      <c r="P145" s="797">
        <v>0</v>
      </c>
      <c r="Q145" s="797">
        <v>0</v>
      </c>
      <c r="R145" s="797">
        <v>0</v>
      </c>
      <c r="S145" s="798">
        <v>0</v>
      </c>
      <c r="T145" s="799">
        <v>0</v>
      </c>
      <c r="U145" s="800">
        <v>0</v>
      </c>
      <c r="V145" s="797">
        <v>0</v>
      </c>
    </row>
    <row r="146" spans="2:22" s="641" customFormat="1" outlineLevel="1">
      <c r="B146" s="664" t="str">
        <f t="shared" ref="B146:C146" si="10">B31</f>
        <v>G.</v>
      </c>
      <c r="C146" s="691" t="str">
        <f t="shared" si="10"/>
        <v>Group Loans from Finco back to back with finco bond issue</v>
      </c>
      <c r="D146" s="688"/>
      <c r="E146" s="689"/>
      <c r="F146" s="689"/>
      <c r="G146" s="686"/>
      <c r="H146" s="686"/>
      <c r="I146" s="686"/>
      <c r="J146" s="686"/>
      <c r="K146" s="686"/>
      <c r="L146" s="686"/>
      <c r="M146" s="797">
        <v>0</v>
      </c>
      <c r="N146" s="797">
        <v>0</v>
      </c>
      <c r="O146" s="797">
        <v>0</v>
      </c>
      <c r="P146" s="797">
        <v>0</v>
      </c>
      <c r="Q146" s="797">
        <v>0</v>
      </c>
      <c r="R146" s="797">
        <v>0</v>
      </c>
      <c r="S146" s="798">
        <v>0</v>
      </c>
      <c r="T146" s="799">
        <v>0</v>
      </c>
      <c r="U146" s="800">
        <v>0</v>
      </c>
      <c r="V146" s="797">
        <v>0</v>
      </c>
    </row>
    <row r="147" spans="2:22" s="641" customFormat="1" outlineLevel="1">
      <c r="B147" s="640" t="s">
        <v>708</v>
      </c>
      <c r="C147" s="685" t="s">
        <v>709</v>
      </c>
      <c r="D147" s="686"/>
      <c r="E147" s="687"/>
      <c r="F147" s="687"/>
      <c r="G147" s="686"/>
      <c r="H147" s="686"/>
      <c r="I147" s="686"/>
      <c r="J147" s="686"/>
      <c r="K147" s="686"/>
      <c r="L147" s="686"/>
      <c r="M147" s="797">
        <v>10.564181699999992</v>
      </c>
      <c r="N147" s="797">
        <v>-17.274427469999999</v>
      </c>
      <c r="O147" s="797">
        <v>-17.677816792793298</v>
      </c>
      <c r="P147" s="797">
        <v>-17.878770848762095</v>
      </c>
      <c r="Q147" s="797">
        <v>-17.992011042301613</v>
      </c>
      <c r="R147" s="797">
        <v>-18.115513590652103</v>
      </c>
      <c r="S147" s="798">
        <v>-18.255227448704154</v>
      </c>
      <c r="T147" s="799">
        <v>-18.402864910336586</v>
      </c>
      <c r="U147" s="800">
        <v>-18.554073424033547</v>
      </c>
      <c r="V147" s="797">
        <v>-17.498509711096094</v>
      </c>
    </row>
    <row r="148" spans="2:22" s="641" customFormat="1" outlineLevel="1">
      <c r="B148" s="664" t="str">
        <f>B34</f>
        <v>J.</v>
      </c>
      <c r="C148" s="691" t="str">
        <f>C34</f>
        <v>Other</v>
      </c>
      <c r="D148" s="688"/>
      <c r="E148" s="689"/>
      <c r="F148" s="689"/>
      <c r="G148" s="686"/>
      <c r="H148" s="686"/>
      <c r="I148" s="686"/>
      <c r="J148" s="686"/>
      <c r="K148" s="686"/>
      <c r="L148" s="686"/>
      <c r="M148" s="801">
        <v>0.69472574000000009</v>
      </c>
      <c r="N148" s="802">
        <v>9.5227405899999997</v>
      </c>
      <c r="O148" s="802">
        <v>0</v>
      </c>
      <c r="P148" s="802">
        <v>0</v>
      </c>
      <c r="Q148" s="802">
        <v>15.552398607683113</v>
      </c>
      <c r="R148" s="802">
        <v>26.249508228919183</v>
      </c>
      <c r="S148" s="803">
        <v>33.085475377754499</v>
      </c>
      <c r="T148" s="804">
        <v>39.958021199168783</v>
      </c>
      <c r="U148" s="802">
        <v>71.013295463943621</v>
      </c>
      <c r="V148" s="802">
        <v>82.573268308501937</v>
      </c>
    </row>
    <row r="149" spans="2:22" s="641" customFormat="1" outlineLevel="1">
      <c r="C149" s="692" t="s">
        <v>710</v>
      </c>
      <c r="D149" s="693"/>
      <c r="E149" s="729"/>
      <c r="F149" s="729"/>
      <c r="G149" s="686"/>
      <c r="H149" s="686"/>
      <c r="I149" s="686"/>
      <c r="J149" s="686"/>
      <c r="K149" s="686"/>
      <c r="L149" s="686"/>
      <c r="M149" s="105"/>
      <c r="N149" s="106"/>
      <c r="O149" s="106"/>
      <c r="P149" s="106"/>
      <c r="Q149" s="106"/>
      <c r="R149" s="106"/>
      <c r="S149" s="107"/>
      <c r="T149" s="355"/>
      <c r="U149" s="345"/>
      <c r="V149" s="106"/>
    </row>
    <row r="150" spans="2:22" s="641" customFormat="1" outlineLevel="1">
      <c r="C150" s="695" t="s">
        <v>758</v>
      </c>
      <c r="D150" s="686"/>
      <c r="E150" s="687"/>
      <c r="F150" s="687"/>
      <c r="G150" s="686"/>
      <c r="H150" s="686"/>
      <c r="I150" s="686"/>
      <c r="J150" s="686"/>
      <c r="K150" s="686"/>
      <c r="L150" s="686"/>
      <c r="M150" s="766">
        <v>102.03301239999998</v>
      </c>
      <c r="N150" s="767">
        <v>88.84206048999998</v>
      </c>
      <c r="O150" s="767">
        <v>105.79934294281823</v>
      </c>
      <c r="P150" s="767">
        <v>97.786309465989376</v>
      </c>
      <c r="Q150" s="767">
        <v>129.48179199036107</v>
      </c>
      <c r="R150" s="767">
        <v>156.69726349588845</v>
      </c>
      <c r="S150" s="768">
        <v>171.57523681975616</v>
      </c>
      <c r="T150" s="769">
        <v>187.85654407853519</v>
      </c>
      <c r="U150" s="770">
        <v>232.89327638380564</v>
      </c>
      <c r="V150" s="767">
        <v>258.73970915675034</v>
      </c>
    </row>
    <row r="151" spans="2:22" s="641" customFormat="1" outlineLevel="1">
      <c r="C151" s="685" t="s">
        <v>714</v>
      </c>
      <c r="D151" s="686"/>
      <c r="E151" s="687"/>
      <c r="F151" s="687"/>
      <c r="G151" s="686"/>
      <c r="H151" s="686"/>
      <c r="I151" s="686"/>
      <c r="J151" s="686"/>
      <c r="K151" s="686"/>
      <c r="L151" s="686"/>
      <c r="M151" s="99"/>
      <c r="N151" s="100"/>
      <c r="O151" s="100"/>
      <c r="P151" s="100"/>
      <c r="Q151" s="100"/>
      <c r="R151" s="100"/>
      <c r="S151" s="101"/>
      <c r="T151" s="351"/>
      <c r="U151" s="342"/>
      <c r="V151" s="100"/>
    </row>
    <row r="152" spans="2:22" s="641" customFormat="1" outlineLevel="1">
      <c r="C152" s="685" t="s">
        <v>759</v>
      </c>
      <c r="D152" s="686"/>
      <c r="E152" s="687"/>
      <c r="F152" s="687"/>
      <c r="G152" s="686"/>
      <c r="H152" s="686"/>
      <c r="I152" s="686"/>
      <c r="J152" s="686"/>
      <c r="K152" s="686"/>
      <c r="L152" s="686"/>
      <c r="M152" s="99">
        <v>0.69485346999999997</v>
      </c>
      <c r="N152" s="99">
        <v>9.5927178499999979</v>
      </c>
      <c r="O152" s="99">
        <v>0.12300697000000002</v>
      </c>
      <c r="P152" s="99"/>
      <c r="Q152" s="99"/>
      <c r="R152" s="99"/>
      <c r="S152" s="349"/>
      <c r="T152" s="353"/>
      <c r="U152" s="342"/>
      <c r="V152" s="99"/>
    </row>
    <row r="153" spans="2:22" s="641" customFormat="1" outlineLevel="1">
      <c r="C153" s="685" t="s">
        <v>729</v>
      </c>
      <c r="D153" s="686"/>
      <c r="E153" s="694"/>
      <c r="F153" s="694"/>
      <c r="G153" s="686"/>
      <c r="H153" s="686"/>
      <c r="I153" s="686"/>
      <c r="J153" s="686"/>
      <c r="K153" s="686"/>
      <c r="L153" s="686"/>
      <c r="M153" s="99"/>
      <c r="N153" s="99"/>
      <c r="O153" s="99"/>
      <c r="P153" s="99"/>
      <c r="Q153" s="99"/>
      <c r="R153" s="99"/>
      <c r="S153" s="349"/>
      <c r="T153" s="353"/>
      <c r="U153" s="342"/>
      <c r="V153" s="99"/>
    </row>
    <row r="154" spans="2:22" s="641" customFormat="1" outlineLevel="1">
      <c r="B154" s="1322"/>
      <c r="C154" s="685" t="s">
        <v>760</v>
      </c>
      <c r="D154" s="686"/>
      <c r="E154" s="694"/>
      <c r="F154" s="694"/>
      <c r="G154" s="686"/>
      <c r="H154" s="686"/>
      <c r="I154" s="686"/>
      <c r="J154" s="686"/>
      <c r="K154" s="686"/>
      <c r="L154" s="686"/>
      <c r="M154" s="99"/>
      <c r="N154" s="99"/>
      <c r="O154" s="99"/>
      <c r="P154" s="99"/>
      <c r="Q154" s="99"/>
      <c r="R154" s="99"/>
      <c r="S154" s="349"/>
      <c r="T154" s="353"/>
      <c r="U154" s="342"/>
      <c r="V154" s="99"/>
    </row>
    <row r="155" spans="2:22" s="641" customFormat="1" outlineLevel="1">
      <c r="C155" s="692" t="s">
        <v>760</v>
      </c>
      <c r="D155" s="693"/>
      <c r="E155" s="729"/>
      <c r="F155" s="729"/>
      <c r="G155" s="686"/>
      <c r="H155" s="686"/>
      <c r="I155" s="686"/>
      <c r="J155" s="686"/>
      <c r="K155" s="686"/>
      <c r="L155" s="686"/>
      <c r="M155" s="99">
        <v>0.33586245999999997</v>
      </c>
      <c r="N155" s="99">
        <v>8.749999E-2</v>
      </c>
      <c r="O155" s="99">
        <v>0.59068958000000005</v>
      </c>
      <c r="P155" s="99"/>
      <c r="Q155" s="99"/>
      <c r="R155" s="99"/>
      <c r="S155" s="349"/>
      <c r="T155" s="353"/>
      <c r="U155" s="342"/>
      <c r="V155" s="99"/>
    </row>
    <row r="156" spans="2:22" s="641" customFormat="1" outlineLevel="1">
      <c r="C156" s="695" t="s">
        <v>761</v>
      </c>
      <c r="D156" s="686"/>
      <c r="E156" s="687"/>
      <c r="F156" s="687"/>
      <c r="G156" s="686"/>
      <c r="H156" s="686"/>
      <c r="I156" s="686"/>
      <c r="J156" s="686"/>
      <c r="K156" s="686"/>
      <c r="L156" s="686"/>
      <c r="M156" s="743">
        <v>103.06372832999998</v>
      </c>
      <c r="N156" s="1308">
        <v>98.522278329999978</v>
      </c>
      <c r="O156" s="1308">
        <v>106.51303949281824</v>
      </c>
      <c r="P156" s="1308">
        <v>97.786309465989376</v>
      </c>
      <c r="Q156" s="1308">
        <v>129.48179199036107</v>
      </c>
      <c r="R156" s="1308">
        <v>156.69726349588845</v>
      </c>
      <c r="S156" s="1307">
        <v>171.57523681975616</v>
      </c>
      <c r="T156" s="1306">
        <v>187.85654407853519</v>
      </c>
      <c r="U156" s="1305">
        <v>232.89327638380564</v>
      </c>
      <c r="V156" s="1308">
        <v>258.73970915675034</v>
      </c>
    </row>
    <row r="157" spans="2:22" s="641" customFormat="1" outlineLevel="1">
      <c r="C157" s="699"/>
      <c r="D157" s="699"/>
      <c r="E157" s="699"/>
      <c r="F157" s="699"/>
      <c r="G157" s="699"/>
      <c r="H157" s="699"/>
      <c r="I157" s="699"/>
      <c r="J157" s="699"/>
      <c r="K157" s="699"/>
      <c r="L157" s="699"/>
      <c r="M157" s="730"/>
      <c r="N157" s="730"/>
      <c r="O157" s="730"/>
      <c r="P157" s="730"/>
      <c r="Q157" s="730"/>
      <c r="R157" s="730"/>
      <c r="S157" s="730"/>
      <c r="T157" s="731"/>
      <c r="U157" s="730"/>
      <c r="V157" s="730"/>
    </row>
    <row r="158" spans="2:22" s="641" customFormat="1" outlineLevel="1">
      <c r="M158" s="730"/>
      <c r="N158" s="730"/>
      <c r="O158" s="730"/>
      <c r="P158" s="730"/>
      <c r="Q158" s="730"/>
      <c r="R158" s="730"/>
      <c r="S158" s="730"/>
      <c r="T158" s="731"/>
      <c r="U158" s="730"/>
      <c r="V158" s="730"/>
    </row>
    <row r="159" spans="2:22" s="641" customFormat="1" outlineLevel="1">
      <c r="C159" s="703" t="s">
        <v>762</v>
      </c>
      <c r="D159" s="704"/>
      <c r="E159" s="703"/>
      <c r="F159" s="705"/>
      <c r="G159" s="704"/>
      <c r="H159" s="704"/>
      <c r="I159" s="704"/>
      <c r="J159" s="704"/>
      <c r="K159" s="704"/>
      <c r="L159" s="704"/>
      <c r="M159" s="732"/>
      <c r="N159" s="732"/>
      <c r="O159" s="732"/>
      <c r="P159" s="732"/>
      <c r="Q159" s="732"/>
      <c r="R159" s="732"/>
      <c r="S159" s="732"/>
      <c r="T159" s="733"/>
      <c r="U159" s="732"/>
      <c r="V159" s="732"/>
    </row>
    <row r="160" spans="2:22" s="641" customFormat="1" outlineLevel="1">
      <c r="C160" s="685" t="s">
        <v>723</v>
      </c>
      <c r="D160" s="686"/>
      <c r="E160" s="687"/>
      <c r="F160" s="687"/>
      <c r="G160" s="686"/>
      <c r="H160" s="686"/>
      <c r="I160" s="686"/>
      <c r="J160" s="686"/>
      <c r="K160" s="686"/>
      <c r="L160" s="686"/>
      <c r="M160" s="96"/>
      <c r="N160" s="97"/>
      <c r="O160" s="97"/>
      <c r="P160" s="97"/>
      <c r="Q160" s="97"/>
      <c r="R160" s="97"/>
      <c r="S160" s="98"/>
      <c r="T160" s="354"/>
      <c r="U160" s="344"/>
      <c r="V160" s="97"/>
    </row>
    <row r="161" spans="2:22" s="641" customFormat="1" outlineLevel="1">
      <c r="C161" s="687" t="s">
        <v>724</v>
      </c>
      <c r="D161" s="686"/>
      <c r="E161" s="687"/>
      <c r="F161" s="687"/>
      <c r="G161" s="686"/>
      <c r="H161" s="686"/>
      <c r="I161" s="686"/>
      <c r="J161" s="686"/>
      <c r="K161" s="686"/>
      <c r="L161" s="686"/>
      <c r="M161" s="99"/>
      <c r="N161" s="100"/>
      <c r="O161" s="100"/>
      <c r="P161" s="100"/>
      <c r="Q161" s="100"/>
      <c r="R161" s="100"/>
      <c r="S161" s="101"/>
      <c r="T161" s="351"/>
      <c r="U161" s="342"/>
      <c r="V161" s="100"/>
    </row>
    <row r="162" spans="2:22" s="641" customFormat="1" outlineLevel="1">
      <c r="C162" s="687" t="s">
        <v>725</v>
      </c>
      <c r="D162" s="686"/>
      <c r="E162" s="687"/>
      <c r="F162" s="687"/>
      <c r="G162" s="686"/>
      <c r="H162" s="686"/>
      <c r="I162" s="686"/>
      <c r="J162" s="686"/>
      <c r="K162" s="686"/>
      <c r="L162" s="686"/>
      <c r="M162" s="99"/>
      <c r="N162" s="100"/>
      <c r="O162" s="100"/>
      <c r="P162" s="100"/>
      <c r="Q162" s="100"/>
      <c r="R162" s="100"/>
      <c r="S162" s="101"/>
      <c r="T162" s="351"/>
      <c r="U162" s="342"/>
      <c r="V162" s="100"/>
    </row>
    <row r="163" spans="2:22" s="641" customFormat="1" outlineLevel="1">
      <c r="B163" s="664" t="str">
        <f>B29</f>
        <v>E.</v>
      </c>
      <c r="C163" s="691" t="str">
        <f>C29</f>
        <v>Group company loans (licensee lender)</v>
      </c>
      <c r="D163" s="688"/>
      <c r="E163" s="689"/>
      <c r="F163" s="689"/>
      <c r="G163" s="686"/>
      <c r="H163" s="686"/>
      <c r="I163" s="686"/>
      <c r="J163" s="686"/>
      <c r="K163" s="686"/>
      <c r="L163" s="686"/>
      <c r="M163" s="797">
        <v>0</v>
      </c>
      <c r="N163" s="805">
        <v>0</v>
      </c>
      <c r="O163" s="805">
        <v>0</v>
      </c>
      <c r="P163" s="805">
        <v>0</v>
      </c>
      <c r="Q163" s="805">
        <v>0</v>
      </c>
      <c r="R163" s="805">
        <v>0</v>
      </c>
      <c r="S163" s="806">
        <v>0</v>
      </c>
      <c r="T163" s="807">
        <v>0</v>
      </c>
      <c r="U163" s="800">
        <v>0</v>
      </c>
      <c r="V163" s="805">
        <v>0</v>
      </c>
    </row>
    <row r="164" spans="2:22" s="641" customFormat="1" outlineLevel="1">
      <c r="C164" s="695" t="s">
        <v>763</v>
      </c>
      <c r="D164" s="686"/>
      <c r="E164" s="687"/>
      <c r="F164" s="687"/>
      <c r="G164" s="686"/>
      <c r="H164" s="686"/>
      <c r="I164" s="686"/>
      <c r="J164" s="686"/>
      <c r="K164" s="686"/>
      <c r="L164" s="686"/>
      <c r="M164" s="766">
        <v>0</v>
      </c>
      <c r="N164" s="767">
        <v>0</v>
      </c>
      <c r="O164" s="767">
        <v>0</v>
      </c>
      <c r="P164" s="767">
        <v>0</v>
      </c>
      <c r="Q164" s="767">
        <v>0</v>
      </c>
      <c r="R164" s="767">
        <v>0</v>
      </c>
      <c r="S164" s="768">
        <v>0</v>
      </c>
      <c r="T164" s="769">
        <v>0</v>
      </c>
      <c r="U164" s="770">
        <v>0</v>
      </c>
      <c r="V164" s="767">
        <v>0</v>
      </c>
    </row>
    <row r="165" spans="2:22" s="641" customFormat="1" outlineLevel="1">
      <c r="C165" s="685" t="s">
        <v>764</v>
      </c>
      <c r="D165" s="686"/>
      <c r="E165" s="687"/>
      <c r="F165" s="687"/>
      <c r="G165" s="686"/>
      <c r="H165" s="686"/>
      <c r="I165" s="686"/>
      <c r="J165" s="686"/>
      <c r="K165" s="686"/>
      <c r="L165" s="686"/>
      <c r="M165" s="99"/>
      <c r="N165" s="100"/>
      <c r="O165" s="100"/>
      <c r="P165" s="100"/>
      <c r="Q165" s="100"/>
      <c r="R165" s="100"/>
      <c r="S165" s="101"/>
      <c r="T165" s="351"/>
      <c r="U165" s="342"/>
      <c r="V165" s="100"/>
    </row>
    <row r="166" spans="2:22" s="641" customFormat="1" outlineLevel="1">
      <c r="C166" s="685" t="s">
        <v>728</v>
      </c>
      <c r="D166" s="686"/>
      <c r="E166" s="687"/>
      <c r="F166" s="687"/>
      <c r="G166" s="686"/>
      <c r="H166" s="686"/>
      <c r="I166" s="686"/>
      <c r="J166" s="686"/>
      <c r="K166" s="686"/>
      <c r="L166" s="686"/>
      <c r="M166" s="99">
        <v>-0.10582195999999999</v>
      </c>
      <c r="N166" s="100">
        <v>-1.7356339200000028</v>
      </c>
      <c r="O166" s="100">
        <v>-9.3721930100000002</v>
      </c>
      <c r="P166" s="100"/>
      <c r="Q166" s="100"/>
      <c r="R166" s="100"/>
      <c r="S166" s="101"/>
      <c r="T166" s="351"/>
      <c r="U166" s="342"/>
      <c r="V166" s="100"/>
    </row>
    <row r="167" spans="2:22" s="641" customFormat="1" outlineLevel="1">
      <c r="C167" s="685" t="s">
        <v>765</v>
      </c>
      <c r="D167" s="686"/>
      <c r="E167" s="687"/>
      <c r="F167" s="687"/>
      <c r="G167" s="686"/>
      <c r="H167" s="686"/>
      <c r="I167" s="686"/>
      <c r="J167" s="686"/>
      <c r="K167" s="686"/>
      <c r="L167" s="686"/>
      <c r="M167" s="99"/>
      <c r="N167" s="100"/>
      <c r="O167" s="100"/>
      <c r="P167" s="100"/>
      <c r="Q167" s="100"/>
      <c r="R167" s="100"/>
      <c r="S167" s="101"/>
      <c r="T167" s="351"/>
      <c r="U167" s="342"/>
      <c r="V167" s="100"/>
    </row>
    <row r="168" spans="2:22" s="641" customFormat="1" outlineLevel="1">
      <c r="C168" s="692" t="s">
        <v>710</v>
      </c>
      <c r="D168" s="693"/>
      <c r="E168" s="729"/>
      <c r="F168" s="729"/>
      <c r="G168" s="686"/>
      <c r="H168" s="686"/>
      <c r="I168" s="686"/>
      <c r="J168" s="686"/>
      <c r="K168" s="686"/>
      <c r="L168" s="686"/>
      <c r="M168" s="105"/>
      <c r="N168" s="106"/>
      <c r="O168" s="106"/>
      <c r="P168" s="106"/>
      <c r="Q168" s="106"/>
      <c r="R168" s="106"/>
      <c r="S168" s="107"/>
      <c r="T168" s="355"/>
      <c r="U168" s="345"/>
      <c r="V168" s="106"/>
    </row>
    <row r="169" spans="2:22" s="641" customFormat="1" outlineLevel="1">
      <c r="C169" s="695" t="s">
        <v>766</v>
      </c>
      <c r="D169" s="686"/>
      <c r="E169" s="687"/>
      <c r="F169" s="687"/>
      <c r="G169" s="686"/>
      <c r="H169" s="686"/>
      <c r="I169" s="686"/>
      <c r="J169" s="686"/>
      <c r="K169" s="686"/>
      <c r="L169" s="686"/>
      <c r="M169" s="743">
        <v>-0.10582195999999999</v>
      </c>
      <c r="N169" s="744">
        <v>-1.7356339200000028</v>
      </c>
      <c r="O169" s="744">
        <v>-9.3721930100000002</v>
      </c>
      <c r="P169" s="744">
        <v>0</v>
      </c>
      <c r="Q169" s="744">
        <v>0</v>
      </c>
      <c r="R169" s="744">
        <v>0</v>
      </c>
      <c r="S169" s="745">
        <v>0</v>
      </c>
      <c r="T169" s="746">
        <v>0</v>
      </c>
      <c r="U169" s="747">
        <v>0</v>
      </c>
      <c r="V169" s="744">
        <v>0</v>
      </c>
    </row>
    <row r="170" spans="2:22" s="641" customFormat="1" outlineLevel="1">
      <c r="C170" s="699"/>
      <c r="D170" s="699"/>
      <c r="E170" s="699"/>
      <c r="F170" s="699"/>
      <c r="G170" s="699"/>
      <c r="H170" s="699"/>
      <c r="I170" s="699"/>
      <c r="J170" s="699"/>
      <c r="K170" s="699"/>
      <c r="L170" s="699"/>
      <c r="M170" s="730"/>
      <c r="N170" s="730"/>
      <c r="O170" s="730"/>
      <c r="P170" s="730"/>
      <c r="Q170" s="730"/>
      <c r="R170" s="730"/>
      <c r="S170" s="730"/>
      <c r="T170" s="731"/>
      <c r="U170" s="730"/>
      <c r="V170" s="730"/>
    </row>
    <row r="171" spans="2:22" s="641" customFormat="1" outlineLevel="1">
      <c r="C171" s="708" t="s">
        <v>767</v>
      </c>
      <c r="D171" s="709"/>
      <c r="E171" s="709"/>
      <c r="F171" s="709"/>
      <c r="G171" s="704"/>
      <c r="H171" s="704"/>
      <c r="I171" s="704"/>
      <c r="J171" s="704"/>
      <c r="K171" s="704"/>
      <c r="L171" s="705"/>
      <c r="M171" s="730"/>
      <c r="N171" s="730"/>
      <c r="O171" s="730"/>
      <c r="P171" s="730"/>
      <c r="Q171" s="730"/>
      <c r="R171" s="730"/>
      <c r="S171" s="730"/>
      <c r="T171" s="731"/>
      <c r="U171" s="730"/>
      <c r="V171" s="730"/>
    </row>
    <row r="172" spans="2:22" s="641" customFormat="1" outlineLevel="1">
      <c r="C172" s="710" t="s">
        <v>768</v>
      </c>
      <c r="D172" s="710"/>
      <c r="E172" s="710"/>
      <c r="F172" s="710"/>
      <c r="G172" s="686"/>
      <c r="H172" s="686"/>
      <c r="I172" s="686"/>
      <c r="J172" s="686"/>
      <c r="K172" s="686"/>
      <c r="L172" s="686"/>
      <c r="M172" s="781">
        <v>103.06372832999998</v>
      </c>
      <c r="N172" s="808">
        <v>98.522278329999978</v>
      </c>
      <c r="O172" s="808">
        <v>106.51303949281824</v>
      </c>
      <c r="P172" s="808">
        <v>97.786309465989376</v>
      </c>
      <c r="Q172" s="808">
        <v>129.48179199036107</v>
      </c>
      <c r="R172" s="808">
        <v>156.69726349588845</v>
      </c>
      <c r="S172" s="809">
        <v>171.57523681975616</v>
      </c>
      <c r="T172" s="810">
        <v>187.85654407853519</v>
      </c>
      <c r="U172" s="784">
        <v>232.89327638380564</v>
      </c>
      <c r="V172" s="808">
        <v>258.73970915675034</v>
      </c>
    </row>
    <row r="173" spans="2:22" s="641" customFormat="1" outlineLevel="1">
      <c r="C173" s="710" t="s">
        <v>769</v>
      </c>
      <c r="D173" s="711"/>
      <c r="E173" s="711"/>
      <c r="F173" s="711"/>
      <c r="G173" s="686"/>
      <c r="H173" s="686"/>
      <c r="I173" s="686"/>
      <c r="J173" s="686"/>
      <c r="K173" s="686"/>
      <c r="L173" s="686"/>
      <c r="M173" s="781">
        <v>-0.10582195999999999</v>
      </c>
      <c r="N173" s="808">
        <v>-1.7356339200000028</v>
      </c>
      <c r="O173" s="808">
        <v>-9.3721930100000002</v>
      </c>
      <c r="P173" s="808">
        <v>0</v>
      </c>
      <c r="Q173" s="808">
        <v>0</v>
      </c>
      <c r="R173" s="808">
        <v>0</v>
      </c>
      <c r="S173" s="809">
        <v>0</v>
      </c>
      <c r="T173" s="810">
        <v>0</v>
      </c>
      <c r="U173" s="784">
        <v>0</v>
      </c>
      <c r="V173" s="808">
        <v>0</v>
      </c>
    </row>
    <row r="174" spans="2:22" s="641" customFormat="1" outlineLevel="1">
      <c r="C174" s="710" t="s">
        <v>770</v>
      </c>
      <c r="D174" s="710"/>
      <c r="E174" s="710"/>
      <c r="F174" s="710"/>
      <c r="G174" s="686"/>
      <c r="H174" s="686"/>
      <c r="I174" s="686"/>
      <c r="J174" s="686"/>
      <c r="K174" s="686"/>
      <c r="L174" s="686"/>
      <c r="M174" s="743">
        <v>102.95790636999998</v>
      </c>
      <c r="N174" s="744">
        <v>96.78664440999998</v>
      </c>
      <c r="O174" s="744">
        <v>97.140846482818233</v>
      </c>
      <c r="P174" s="744">
        <v>97.786309465989376</v>
      </c>
      <c r="Q174" s="744">
        <v>129.48179199036107</v>
      </c>
      <c r="R174" s="744">
        <v>156.69726349588845</v>
      </c>
      <c r="S174" s="745">
        <v>171.57523681975616</v>
      </c>
      <c r="T174" s="746">
        <v>187.85654407853519</v>
      </c>
      <c r="U174" s="747">
        <v>232.89327638380564</v>
      </c>
      <c r="V174" s="744">
        <v>258.73970915675034</v>
      </c>
    </row>
    <row r="175" spans="2:22" s="641" customFormat="1" outlineLevel="1">
      <c r="C175" s="734"/>
      <c r="D175" s="734"/>
      <c r="E175" s="734"/>
      <c r="F175" s="734"/>
      <c r="G175" s="699"/>
      <c r="H175" s="699"/>
      <c r="I175" s="699"/>
      <c r="J175" s="699"/>
      <c r="K175" s="699"/>
      <c r="L175" s="699"/>
      <c r="M175" s="730"/>
      <c r="N175" s="730"/>
      <c r="O175" s="730"/>
      <c r="P175" s="730"/>
      <c r="Q175" s="730"/>
      <c r="R175" s="730"/>
      <c r="S175" s="730"/>
      <c r="T175" s="731"/>
      <c r="U175" s="730"/>
      <c r="V175" s="730"/>
    </row>
    <row r="176" spans="2:22" s="641" customFormat="1" outlineLevel="1">
      <c r="B176" s="712"/>
      <c r="C176" s="713" t="s">
        <v>771</v>
      </c>
      <c r="D176" s="713"/>
      <c r="E176" s="704"/>
      <c r="F176" s="704"/>
      <c r="G176" s="704"/>
      <c r="H176" s="704"/>
      <c r="I176" s="704"/>
      <c r="J176" s="704"/>
      <c r="K176" s="704"/>
      <c r="L176" s="704"/>
      <c r="M176" s="730"/>
      <c r="N176" s="730"/>
      <c r="O176" s="730"/>
      <c r="P176" s="730"/>
      <c r="Q176" s="730"/>
      <c r="R176" s="730"/>
      <c r="S176" s="730"/>
      <c r="T176" s="731"/>
      <c r="U176" s="730"/>
      <c r="V176" s="730"/>
    </row>
    <row r="177" spans="2:24" s="641" customFormat="1" outlineLevel="1">
      <c r="B177" s="712"/>
      <c r="C177" s="686" t="s">
        <v>752</v>
      </c>
      <c r="D177" s="686"/>
      <c r="E177" s="686"/>
      <c r="F177" s="686"/>
      <c r="G177" s="686"/>
      <c r="H177" s="686"/>
      <c r="I177" s="686"/>
      <c r="J177" s="686"/>
      <c r="K177" s="686"/>
      <c r="L177" s="686"/>
      <c r="M177" s="59"/>
      <c r="N177" s="119"/>
      <c r="O177" s="119"/>
      <c r="P177" s="119"/>
      <c r="Q177" s="119"/>
      <c r="R177" s="119"/>
      <c r="S177" s="66"/>
      <c r="T177" s="358"/>
      <c r="U177" s="348"/>
      <c r="V177" s="119"/>
    </row>
    <row r="178" spans="2:24" s="641" customFormat="1" outlineLevel="1">
      <c r="B178" s="712"/>
      <c r="C178" s="686" t="s">
        <v>737</v>
      </c>
      <c r="D178" s="686"/>
      <c r="E178" s="686"/>
      <c r="F178" s="686"/>
      <c r="G178" s="686"/>
      <c r="H178" s="686"/>
      <c r="I178" s="686"/>
      <c r="J178" s="686"/>
      <c r="K178" s="686"/>
      <c r="L178" s="686"/>
      <c r="M178" s="55">
        <v>1</v>
      </c>
      <c r="N178" s="56">
        <v>1</v>
      </c>
      <c r="O178" s="56">
        <v>1</v>
      </c>
      <c r="P178" s="56">
        <v>1</v>
      </c>
      <c r="Q178" s="56">
        <v>1</v>
      </c>
      <c r="R178" s="56">
        <v>1</v>
      </c>
      <c r="S178" s="57">
        <v>1</v>
      </c>
      <c r="T178" s="357">
        <v>1</v>
      </c>
      <c r="U178" s="347">
        <v>1</v>
      </c>
      <c r="V178" s="56">
        <v>1</v>
      </c>
    </row>
    <row r="179" spans="2:24" s="641" customFormat="1" outlineLevel="1">
      <c r="B179" s="712"/>
      <c r="T179" s="676"/>
    </row>
    <row r="180" spans="2:24" s="641" customFormat="1">
      <c r="B180" s="667"/>
      <c r="T180" s="676"/>
      <c r="X180" s="735"/>
    </row>
    <row r="181" spans="2:24" s="641" customFormat="1" ht="15">
      <c r="B181" s="656" t="s">
        <v>772</v>
      </c>
      <c r="C181" s="657"/>
      <c r="D181" s="657"/>
      <c r="E181" s="658"/>
      <c r="F181" s="658"/>
      <c r="G181" s="657"/>
      <c r="H181" s="657"/>
      <c r="I181" s="657"/>
      <c r="J181" s="657"/>
      <c r="K181" s="657"/>
      <c r="L181" s="657"/>
      <c r="M181" s="657"/>
      <c r="N181" s="657"/>
      <c r="O181" s="657"/>
      <c r="P181" s="657"/>
      <c r="Q181" s="657"/>
      <c r="R181" s="657"/>
      <c r="S181" s="657"/>
      <c r="T181" s="659"/>
      <c r="U181" s="657"/>
      <c r="V181" s="657"/>
    </row>
    <row r="182" spans="2:24" s="641" customFormat="1">
      <c r="B182" s="736"/>
      <c r="C182" s="667"/>
      <c r="T182" s="676"/>
    </row>
    <row r="183" spans="2:24" s="641" customFormat="1">
      <c r="B183" s="736"/>
      <c r="C183" s="640" t="s">
        <v>773</v>
      </c>
      <c r="T183" s="676"/>
    </row>
    <row r="184" spans="2:24" s="641" customFormat="1">
      <c r="B184" s="667"/>
      <c r="C184" s="641" t="s">
        <v>774</v>
      </c>
      <c r="M184" s="811">
        <v>90.87</v>
      </c>
      <c r="N184" s="811">
        <v>91.171972045716657</v>
      </c>
      <c r="O184" s="811">
        <v>102.28125216148452</v>
      </c>
      <c r="P184" s="811">
        <v>121.48668618826871</v>
      </c>
      <c r="Q184" s="811">
        <v>115.33795999999995</v>
      </c>
      <c r="R184" s="811">
        <v>115.33795999999995</v>
      </c>
      <c r="S184" s="812">
        <v>115.33795999999995</v>
      </c>
      <c r="T184" s="813">
        <v>114.81830956276445</v>
      </c>
      <c r="U184" s="814">
        <v>97.056709999999924</v>
      </c>
      <c r="V184" s="811">
        <v>95.999437220834366</v>
      </c>
    </row>
    <row r="185" spans="2:24" s="641" customFormat="1">
      <c r="B185" s="667"/>
      <c r="C185" s="641" t="s">
        <v>775</v>
      </c>
      <c r="M185" s="811">
        <v>3.1486296442687491</v>
      </c>
      <c r="N185" s="811">
        <v>9.5110131474103703</v>
      </c>
      <c r="O185" s="811">
        <v>9.8694097202255442</v>
      </c>
      <c r="P185" s="811">
        <v>0</v>
      </c>
      <c r="Q185" s="811">
        <v>0</v>
      </c>
      <c r="R185" s="811">
        <v>0</v>
      </c>
      <c r="S185" s="812">
        <v>0</v>
      </c>
      <c r="T185" s="813">
        <v>0</v>
      </c>
      <c r="U185" s="814">
        <v>0</v>
      </c>
      <c r="V185" s="811">
        <v>0</v>
      </c>
    </row>
    <row r="186" spans="2:24" s="641" customFormat="1">
      <c r="B186" s="667"/>
      <c r="C186" s="641" t="s">
        <v>776</v>
      </c>
      <c r="M186" s="811">
        <v>11.072074763224109</v>
      </c>
      <c r="N186" s="811">
        <v>12.469397711015706</v>
      </c>
      <c r="O186" s="811">
        <v>13.575780808025897</v>
      </c>
      <c r="P186" s="811">
        <v>13.967815402046249</v>
      </c>
      <c r="Q186" s="811">
        <v>9.7295281133120675</v>
      </c>
      <c r="R186" s="811">
        <v>4.3619492081914233</v>
      </c>
      <c r="S186" s="812">
        <v>4.49280768443717</v>
      </c>
      <c r="T186" s="813">
        <v>4.0580315748985658</v>
      </c>
      <c r="U186" s="814">
        <v>3.9454687770234282</v>
      </c>
      <c r="V186" s="811">
        <v>4.0638328403341353</v>
      </c>
    </row>
    <row r="187" spans="2:24" s="641" customFormat="1">
      <c r="B187" s="667"/>
      <c r="C187" s="641" t="s">
        <v>777</v>
      </c>
      <c r="M187" s="811">
        <v>0</v>
      </c>
      <c r="N187" s="811">
        <v>0</v>
      </c>
      <c r="O187" s="811">
        <v>0</v>
      </c>
      <c r="P187" s="811">
        <v>0</v>
      </c>
      <c r="Q187" s="811">
        <v>0</v>
      </c>
      <c r="R187" s="811">
        <v>0</v>
      </c>
      <c r="S187" s="812">
        <v>0</v>
      </c>
      <c r="T187" s="813">
        <v>0</v>
      </c>
      <c r="U187" s="814">
        <v>0</v>
      </c>
      <c r="V187" s="811">
        <v>0</v>
      </c>
    </row>
    <row r="188" spans="2:24" s="641" customFormat="1">
      <c r="B188" s="667"/>
      <c r="C188" s="641" t="s">
        <v>778</v>
      </c>
      <c r="M188" s="811">
        <v>0</v>
      </c>
      <c r="N188" s="811">
        <v>0</v>
      </c>
      <c r="O188" s="811">
        <v>0</v>
      </c>
      <c r="P188" s="811">
        <v>0</v>
      </c>
      <c r="Q188" s="811">
        <v>0</v>
      </c>
      <c r="R188" s="811">
        <v>0</v>
      </c>
      <c r="S188" s="812">
        <v>0</v>
      </c>
      <c r="T188" s="813">
        <v>0</v>
      </c>
      <c r="U188" s="814">
        <v>0</v>
      </c>
      <c r="V188" s="811">
        <v>0</v>
      </c>
    </row>
    <row r="189" spans="2:24" s="641" customFormat="1">
      <c r="B189" s="667"/>
      <c r="C189" s="641" t="s">
        <v>779</v>
      </c>
      <c r="M189" s="811">
        <v>24.892198318272658</v>
      </c>
      <c r="N189" s="811">
        <v>67.840993462631985</v>
      </c>
      <c r="O189" s="811">
        <v>53.687697313220141</v>
      </c>
      <c r="P189" s="811">
        <v>19.006844281585472</v>
      </c>
      <c r="Q189" s="811">
        <v>9.1575403454618378</v>
      </c>
      <c r="R189" s="811">
        <v>5.3162916954189221</v>
      </c>
      <c r="S189" s="812">
        <v>6.254606446684881</v>
      </c>
      <c r="T189" s="813">
        <v>5.7649100110578297</v>
      </c>
      <c r="U189" s="814">
        <v>5.708721625488038</v>
      </c>
      <c r="V189" s="811">
        <v>5.8799832742527229</v>
      </c>
    </row>
    <row r="190" spans="2:24" s="641" customFormat="1">
      <c r="B190" s="667"/>
      <c r="C190" s="641" t="s">
        <v>780</v>
      </c>
      <c r="M190" s="811">
        <v>0</v>
      </c>
      <c r="N190" s="811">
        <v>0</v>
      </c>
      <c r="O190" s="811">
        <v>0</v>
      </c>
      <c r="P190" s="811">
        <v>0</v>
      </c>
      <c r="Q190" s="811">
        <v>0</v>
      </c>
      <c r="R190" s="811">
        <v>0</v>
      </c>
      <c r="S190" s="812">
        <v>0</v>
      </c>
      <c r="T190" s="813">
        <v>0</v>
      </c>
      <c r="U190" s="814">
        <v>0</v>
      </c>
      <c r="V190" s="811">
        <v>0</v>
      </c>
    </row>
    <row r="191" spans="2:24" s="641" customFormat="1">
      <c r="B191" s="667"/>
      <c r="C191" s="641" t="s">
        <v>781</v>
      </c>
      <c r="M191" s="811">
        <v>0</v>
      </c>
      <c r="N191" s="811">
        <v>0</v>
      </c>
      <c r="O191" s="811">
        <v>0</v>
      </c>
      <c r="P191" s="811">
        <v>0</v>
      </c>
      <c r="Q191" s="811">
        <v>0</v>
      </c>
      <c r="R191" s="811">
        <v>0</v>
      </c>
      <c r="S191" s="812">
        <v>0</v>
      </c>
      <c r="T191" s="813">
        <v>0</v>
      </c>
      <c r="U191" s="814">
        <v>0</v>
      </c>
      <c r="V191" s="811">
        <v>0</v>
      </c>
    </row>
    <row r="192" spans="2:24" s="641" customFormat="1">
      <c r="B192" s="667"/>
      <c r="C192" s="640" t="s">
        <v>602</v>
      </c>
      <c r="E192" s="640"/>
      <c r="F192" s="640"/>
      <c r="G192" s="640"/>
      <c r="H192" s="640"/>
      <c r="I192" s="640"/>
      <c r="J192" s="640"/>
      <c r="K192" s="640"/>
      <c r="L192" s="640"/>
      <c r="M192" s="815">
        <v>129.98290272576551</v>
      </c>
      <c r="N192" s="815">
        <v>180.99337636677473</v>
      </c>
      <c r="O192" s="815">
        <v>179.41414000295612</v>
      </c>
      <c r="P192" s="815">
        <v>154.46134587190042</v>
      </c>
      <c r="Q192" s="815">
        <v>134.22502845877386</v>
      </c>
      <c r="R192" s="815">
        <v>125.0162009036103</v>
      </c>
      <c r="S192" s="816">
        <v>126.08537413112199</v>
      </c>
      <c r="T192" s="817">
        <v>124.64125114872085</v>
      </c>
      <c r="U192" s="818">
        <v>106.71090040251138</v>
      </c>
      <c r="V192" s="815">
        <v>105.94325333542122</v>
      </c>
    </row>
    <row r="193" spans="2:22" s="641" customFormat="1">
      <c r="B193" s="667"/>
      <c r="T193" s="676"/>
    </row>
    <row r="194" spans="2:22" s="641" customFormat="1">
      <c r="B194" s="736"/>
      <c r="C194" s="640" t="s">
        <v>782</v>
      </c>
      <c r="T194" s="676"/>
    </row>
    <row r="195" spans="2:22" s="641" customFormat="1">
      <c r="B195" s="667"/>
      <c r="C195" s="641" t="s">
        <v>774</v>
      </c>
      <c r="M195" s="811">
        <v>-8.7853410808098094</v>
      </c>
      <c r="N195" s="811">
        <v>-10.812301302668661</v>
      </c>
      <c r="O195" s="811">
        <v>-10.166672359410132</v>
      </c>
      <c r="P195" s="811">
        <v>-10.166672359410132</v>
      </c>
      <c r="Q195" s="811">
        <v>-10.166672359410132</v>
      </c>
      <c r="R195" s="811">
        <v>-10.166672359410132</v>
      </c>
      <c r="S195" s="812">
        <v>-10.166672359410132</v>
      </c>
      <c r="T195" s="813">
        <v>-10.166672359410132</v>
      </c>
      <c r="U195" s="814">
        <v>-10.166672359410132</v>
      </c>
      <c r="V195" s="811">
        <v>-9.1093995802445775</v>
      </c>
    </row>
    <row r="196" spans="2:22" s="641" customFormat="1">
      <c r="B196" s="667"/>
      <c r="C196" s="641" t="s">
        <v>775</v>
      </c>
      <c r="M196" s="811">
        <v>0</v>
      </c>
      <c r="N196" s="811">
        <v>0</v>
      </c>
      <c r="O196" s="811">
        <v>0</v>
      </c>
      <c r="P196" s="811">
        <v>0</v>
      </c>
      <c r="Q196" s="811">
        <v>0</v>
      </c>
      <c r="R196" s="811">
        <v>0</v>
      </c>
      <c r="S196" s="812">
        <v>0</v>
      </c>
      <c r="T196" s="813">
        <v>0</v>
      </c>
      <c r="U196" s="814">
        <v>0</v>
      </c>
      <c r="V196" s="811">
        <v>0</v>
      </c>
    </row>
    <row r="197" spans="2:22" s="641" customFormat="1">
      <c r="B197" s="667"/>
      <c r="C197" s="641" t="s">
        <v>776</v>
      </c>
      <c r="M197" s="811">
        <v>0</v>
      </c>
      <c r="N197" s="811">
        <v>0</v>
      </c>
      <c r="O197" s="811">
        <v>0</v>
      </c>
      <c r="P197" s="811">
        <v>0</v>
      </c>
      <c r="Q197" s="811">
        <v>0</v>
      </c>
      <c r="R197" s="811">
        <v>0</v>
      </c>
      <c r="S197" s="812">
        <v>0</v>
      </c>
      <c r="T197" s="813">
        <v>0</v>
      </c>
      <c r="U197" s="814">
        <v>0</v>
      </c>
      <c r="V197" s="811">
        <v>0</v>
      </c>
    </row>
    <row r="198" spans="2:22" s="641" customFormat="1">
      <c r="B198" s="667"/>
      <c r="C198" s="641" t="s">
        <v>777</v>
      </c>
      <c r="M198" s="811">
        <v>-5.0701689654423063</v>
      </c>
      <c r="N198" s="811">
        <v>-6.6209766269477575</v>
      </c>
      <c r="O198" s="811">
        <v>-6.8732043079743379</v>
      </c>
      <c r="P198" s="811">
        <v>-7.0573827370009896</v>
      </c>
      <c r="Q198" s="811">
        <v>-7.1686204871159864</v>
      </c>
      <c r="R198" s="811">
        <v>-7.3030599546826007</v>
      </c>
      <c r="S198" s="812">
        <v>-7.4491211537762583</v>
      </c>
      <c r="T198" s="813">
        <v>-7.5981035768517886</v>
      </c>
      <c r="U198" s="814">
        <v>-7.7500656483888282</v>
      </c>
      <c r="V198" s="811">
        <v>-7.7393183921855355</v>
      </c>
    </row>
    <row r="199" spans="2:22" s="641" customFormat="1">
      <c r="B199" s="667"/>
      <c r="C199" s="641" t="s">
        <v>778</v>
      </c>
      <c r="M199" s="811">
        <v>0</v>
      </c>
      <c r="N199" s="811">
        <v>0</v>
      </c>
      <c r="O199" s="811">
        <v>0</v>
      </c>
      <c r="P199" s="811">
        <v>0</v>
      </c>
      <c r="Q199" s="811">
        <v>0</v>
      </c>
      <c r="R199" s="811">
        <v>0</v>
      </c>
      <c r="S199" s="812">
        <v>0</v>
      </c>
      <c r="T199" s="813">
        <v>0</v>
      </c>
      <c r="U199" s="814">
        <v>0</v>
      </c>
      <c r="V199" s="811">
        <v>0</v>
      </c>
    </row>
    <row r="200" spans="2:22" s="641" customFormat="1">
      <c r="B200" s="667"/>
      <c r="C200" s="641" t="s">
        <v>779</v>
      </c>
      <c r="M200" s="811">
        <v>0</v>
      </c>
      <c r="N200" s="811">
        <v>0</v>
      </c>
      <c r="O200" s="811">
        <v>0</v>
      </c>
      <c r="P200" s="811">
        <v>0</v>
      </c>
      <c r="Q200" s="811">
        <v>0</v>
      </c>
      <c r="R200" s="811">
        <v>0</v>
      </c>
      <c r="S200" s="812">
        <v>0</v>
      </c>
      <c r="T200" s="813">
        <v>0</v>
      </c>
      <c r="U200" s="814">
        <v>0</v>
      </c>
      <c r="V200" s="811">
        <v>0</v>
      </c>
    </row>
    <row r="201" spans="2:22" s="641" customFormat="1">
      <c r="B201" s="667"/>
      <c r="C201" s="641" t="s">
        <v>780</v>
      </c>
      <c r="M201" s="811">
        <v>31.182401466544516</v>
      </c>
      <c r="N201" s="811">
        <v>52.465627864344611</v>
      </c>
      <c r="O201" s="811">
        <v>23.758020164986306</v>
      </c>
      <c r="P201" s="811">
        <v>17.348273642929417</v>
      </c>
      <c r="Q201" s="811">
        <v>10.477790144140734</v>
      </c>
      <c r="R201" s="811">
        <v>12.66322383180885</v>
      </c>
      <c r="S201" s="812">
        <v>13.757906742295503</v>
      </c>
      <c r="T201" s="813">
        <v>14.033064877141458</v>
      </c>
      <c r="U201" s="814">
        <v>14.313726174684327</v>
      </c>
      <c r="V201" s="811">
        <v>13.412253006362345</v>
      </c>
    </row>
    <row r="202" spans="2:22" s="641" customFormat="1">
      <c r="B202" s="667"/>
      <c r="C202" s="641" t="s">
        <v>781</v>
      </c>
      <c r="M202" s="811">
        <v>0</v>
      </c>
      <c r="N202" s="811">
        <v>0</v>
      </c>
      <c r="O202" s="811">
        <v>0</v>
      </c>
      <c r="P202" s="811">
        <v>0</v>
      </c>
      <c r="Q202" s="811">
        <v>0</v>
      </c>
      <c r="R202" s="811">
        <v>0</v>
      </c>
      <c r="S202" s="812">
        <v>0</v>
      </c>
      <c r="T202" s="813">
        <v>0</v>
      </c>
      <c r="U202" s="814">
        <v>0</v>
      </c>
      <c r="V202" s="811">
        <v>0</v>
      </c>
    </row>
    <row r="203" spans="2:22" s="641" customFormat="1">
      <c r="B203" s="667"/>
      <c r="C203" s="640" t="s">
        <v>602</v>
      </c>
      <c r="E203" s="640"/>
      <c r="F203" s="640"/>
      <c r="G203" s="640"/>
      <c r="H203" s="640"/>
      <c r="I203" s="640"/>
      <c r="J203" s="640"/>
      <c r="K203" s="640"/>
      <c r="L203" s="640"/>
      <c r="M203" s="815">
        <v>17.326891420292398</v>
      </c>
      <c r="N203" s="815">
        <v>35.032349934728188</v>
      </c>
      <c r="O203" s="815">
        <v>6.7181434976018366</v>
      </c>
      <c r="P203" s="815">
        <v>0.12421854651829634</v>
      </c>
      <c r="Q203" s="815">
        <v>-6.8575027023853856</v>
      </c>
      <c r="R203" s="815">
        <v>-4.8065084822838813</v>
      </c>
      <c r="S203" s="816">
        <v>-3.8578867708908859</v>
      </c>
      <c r="T203" s="817">
        <v>-3.7317110591204621</v>
      </c>
      <c r="U203" s="818">
        <v>-3.6030118331146355</v>
      </c>
      <c r="V203" s="815">
        <v>-3.4364649660677671</v>
      </c>
    </row>
    <row r="204" spans="2:22" s="641" customFormat="1">
      <c r="B204" s="667"/>
      <c r="C204" s="640"/>
      <c r="T204" s="676"/>
    </row>
    <row r="205" spans="2:22" s="641" customFormat="1">
      <c r="B205" s="736"/>
      <c r="C205" s="640" t="s">
        <v>783</v>
      </c>
      <c r="T205" s="676"/>
    </row>
    <row r="206" spans="2:22" s="641" customFormat="1">
      <c r="B206" s="667"/>
      <c r="C206" s="641" t="s">
        <v>774</v>
      </c>
      <c r="M206" s="811">
        <v>82.08465891919019</v>
      </c>
      <c r="N206" s="811">
        <v>80.359670743048</v>
      </c>
      <c r="O206" s="811">
        <v>92.114579802074388</v>
      </c>
      <c r="P206" s="811">
        <v>111.32001382885858</v>
      </c>
      <c r="Q206" s="811">
        <v>105.17128764058982</v>
      </c>
      <c r="R206" s="811">
        <v>105.17128764058982</v>
      </c>
      <c r="S206" s="812">
        <v>105.17128764058982</v>
      </c>
      <c r="T206" s="813">
        <v>104.65163720335433</v>
      </c>
      <c r="U206" s="814">
        <v>86.890037640589796</v>
      </c>
      <c r="V206" s="811">
        <v>86.890037640589782</v>
      </c>
    </row>
    <row r="207" spans="2:22" s="641" customFormat="1">
      <c r="B207" s="667"/>
      <c r="C207" s="641" t="s">
        <v>775</v>
      </c>
      <c r="M207" s="811">
        <v>3.1486296442687491</v>
      </c>
      <c r="N207" s="811">
        <v>9.5110131474103703</v>
      </c>
      <c r="O207" s="811">
        <v>9.8694097202255442</v>
      </c>
      <c r="P207" s="811">
        <v>0</v>
      </c>
      <c r="Q207" s="811">
        <v>0</v>
      </c>
      <c r="R207" s="811">
        <v>0</v>
      </c>
      <c r="S207" s="812">
        <v>0</v>
      </c>
      <c r="T207" s="813">
        <v>0</v>
      </c>
      <c r="U207" s="814">
        <v>0</v>
      </c>
      <c r="V207" s="811">
        <v>0</v>
      </c>
    </row>
    <row r="208" spans="2:22" s="641" customFormat="1">
      <c r="B208" s="667"/>
      <c r="C208" s="641" t="s">
        <v>776</v>
      </c>
      <c r="M208" s="811">
        <v>11.072074763224109</v>
      </c>
      <c r="N208" s="811">
        <v>12.469397711015706</v>
      </c>
      <c r="O208" s="811">
        <v>13.575780808025897</v>
      </c>
      <c r="P208" s="811">
        <v>13.967815402046249</v>
      </c>
      <c r="Q208" s="811">
        <v>9.7295281133120675</v>
      </c>
      <c r="R208" s="811">
        <v>4.3619492081914233</v>
      </c>
      <c r="S208" s="812">
        <v>4.49280768443717</v>
      </c>
      <c r="T208" s="813">
        <v>4.0580315748985658</v>
      </c>
      <c r="U208" s="814">
        <v>3.9454687770234282</v>
      </c>
      <c r="V208" s="811">
        <v>4.0638328403341353</v>
      </c>
    </row>
    <row r="209" spans="1:31" s="641" customFormat="1">
      <c r="B209" s="667"/>
      <c r="C209" s="641" t="s">
        <v>777</v>
      </c>
      <c r="M209" s="811">
        <v>-5.0701689654423063</v>
      </c>
      <c r="N209" s="811">
        <v>-6.6209766269477575</v>
      </c>
      <c r="O209" s="811">
        <v>-6.8732043079743379</v>
      </c>
      <c r="P209" s="811">
        <v>-7.0573827370009896</v>
      </c>
      <c r="Q209" s="811">
        <v>-7.1686204871159864</v>
      </c>
      <c r="R209" s="811">
        <v>-7.3030599546826007</v>
      </c>
      <c r="S209" s="812">
        <v>-7.4491211537762583</v>
      </c>
      <c r="T209" s="813">
        <v>-7.5981035768517886</v>
      </c>
      <c r="U209" s="814">
        <v>-7.7500656483888282</v>
      </c>
      <c r="V209" s="811">
        <v>-7.7393183921855355</v>
      </c>
    </row>
    <row r="210" spans="1:31" s="641" customFormat="1">
      <c r="B210" s="667"/>
      <c r="C210" s="641" t="s">
        <v>778</v>
      </c>
      <c r="M210" s="811">
        <v>0</v>
      </c>
      <c r="N210" s="811">
        <v>0</v>
      </c>
      <c r="O210" s="811">
        <v>0</v>
      </c>
      <c r="P210" s="811">
        <v>0</v>
      </c>
      <c r="Q210" s="811">
        <v>0</v>
      </c>
      <c r="R210" s="811">
        <v>0</v>
      </c>
      <c r="S210" s="812">
        <v>0</v>
      </c>
      <c r="T210" s="813">
        <v>0</v>
      </c>
      <c r="U210" s="814">
        <v>0</v>
      </c>
      <c r="V210" s="811">
        <v>0</v>
      </c>
    </row>
    <row r="211" spans="1:31" s="641" customFormat="1">
      <c r="B211" s="667"/>
      <c r="C211" s="641" t="s">
        <v>779</v>
      </c>
      <c r="M211" s="811">
        <v>24.892198318272658</v>
      </c>
      <c r="N211" s="811">
        <v>67.840993462631985</v>
      </c>
      <c r="O211" s="811">
        <v>53.687697313220141</v>
      </c>
      <c r="P211" s="811">
        <v>19.006844281585472</v>
      </c>
      <c r="Q211" s="811">
        <v>9.1575403454618378</v>
      </c>
      <c r="R211" s="811">
        <v>5.3162916954189221</v>
      </c>
      <c r="S211" s="812">
        <v>6.254606446684881</v>
      </c>
      <c r="T211" s="813">
        <v>5.7649100110578297</v>
      </c>
      <c r="U211" s="814">
        <v>5.708721625488038</v>
      </c>
      <c r="V211" s="811">
        <v>5.8799832742527229</v>
      </c>
    </row>
    <row r="212" spans="1:31" s="641" customFormat="1">
      <c r="B212" s="667"/>
      <c r="C212" s="641" t="s">
        <v>780</v>
      </c>
      <c r="M212" s="811">
        <v>31.182401466544516</v>
      </c>
      <c r="N212" s="811">
        <v>52.465627864344611</v>
      </c>
      <c r="O212" s="811">
        <v>23.758020164986306</v>
      </c>
      <c r="P212" s="811">
        <v>17.348273642929417</v>
      </c>
      <c r="Q212" s="811">
        <v>10.477790144140734</v>
      </c>
      <c r="R212" s="811">
        <v>12.66322383180885</v>
      </c>
      <c r="S212" s="812">
        <v>13.757906742295503</v>
      </c>
      <c r="T212" s="813">
        <v>14.033064877141458</v>
      </c>
      <c r="U212" s="814">
        <v>14.313726174684327</v>
      </c>
      <c r="V212" s="811">
        <v>13.412253006362345</v>
      </c>
    </row>
    <row r="213" spans="1:31" s="641" customFormat="1">
      <c r="B213" s="667"/>
      <c r="C213" s="641" t="s">
        <v>781</v>
      </c>
      <c r="M213" s="811">
        <v>0</v>
      </c>
      <c r="N213" s="811">
        <v>0</v>
      </c>
      <c r="O213" s="811">
        <v>0</v>
      </c>
      <c r="P213" s="811">
        <v>0</v>
      </c>
      <c r="Q213" s="811">
        <v>0</v>
      </c>
      <c r="R213" s="811">
        <v>0</v>
      </c>
      <c r="S213" s="812">
        <v>0</v>
      </c>
      <c r="T213" s="813">
        <v>0</v>
      </c>
      <c r="U213" s="814">
        <v>0</v>
      </c>
      <c r="V213" s="811">
        <v>0</v>
      </c>
    </row>
    <row r="214" spans="1:31" s="641" customFormat="1">
      <c r="B214" s="667"/>
      <c r="C214" s="640" t="s">
        <v>602</v>
      </c>
      <c r="E214" s="640"/>
      <c r="F214" s="640"/>
      <c r="G214" s="640"/>
      <c r="H214" s="640"/>
      <c r="I214" s="640"/>
      <c r="J214" s="640"/>
      <c r="K214" s="640"/>
      <c r="L214" s="640"/>
      <c r="M214" s="815">
        <v>147.30979414605792</v>
      </c>
      <c r="N214" s="815">
        <v>216.02572630150291</v>
      </c>
      <c r="O214" s="815">
        <v>186.13228350055795</v>
      </c>
      <c r="P214" s="815">
        <v>154.58556441841876</v>
      </c>
      <c r="Q214" s="815">
        <v>127.36752575638849</v>
      </c>
      <c r="R214" s="815">
        <v>120.20969242132642</v>
      </c>
      <c r="S214" s="816">
        <v>122.22748736023111</v>
      </c>
      <c r="T214" s="817">
        <v>120.9095400896004</v>
      </c>
      <c r="U214" s="818">
        <v>103.10788856939675</v>
      </c>
      <c r="V214" s="815">
        <v>102.50678836935344</v>
      </c>
    </row>
    <row r="215" spans="1:31" s="641" customFormat="1">
      <c r="B215" s="667"/>
      <c r="C215" s="667"/>
      <c r="D215" s="640"/>
      <c r="T215" s="676"/>
    </row>
    <row r="216" spans="1:31" s="742" customFormat="1" ht="15" customHeight="1">
      <c r="A216" s="737"/>
      <c r="B216" s="738" t="s">
        <v>784</v>
      </c>
      <c r="C216" s="738"/>
      <c r="D216" s="738"/>
      <c r="E216" s="738"/>
      <c r="F216" s="738"/>
      <c r="G216" s="738"/>
      <c r="H216" s="738"/>
      <c r="I216" s="738"/>
      <c r="J216" s="738"/>
      <c r="K216" s="738"/>
      <c r="L216" s="738"/>
      <c r="M216" s="738"/>
      <c r="N216" s="738"/>
      <c r="O216" s="738"/>
      <c r="P216" s="738"/>
      <c r="Q216" s="738"/>
      <c r="R216" s="738"/>
      <c r="S216" s="738"/>
      <c r="T216" s="739"/>
      <c r="U216" s="738"/>
      <c r="V216" s="738"/>
      <c r="W216" s="740"/>
      <c r="X216" s="741"/>
      <c r="Y216" s="741"/>
      <c r="Z216" s="741"/>
      <c r="AA216" s="741"/>
      <c r="AB216" s="741"/>
      <c r="AC216" s="741"/>
      <c r="AD216" s="741"/>
      <c r="AE216" s="741"/>
    </row>
    <row r="217" spans="1:31" s="641" customFormat="1"/>
    <row r="218" spans="1:31" s="641" customFormat="1"/>
  </sheetData>
  <sheetProtection insertRows="0" sort="0" autoFilter="0" pivotTables="0"/>
  <mergeCells count="2">
    <mergeCell ref="M7:Q7"/>
    <mergeCell ref="R7:V7"/>
  </mergeCells>
  <conditionalFormatting sqref="M9:U9">
    <cfRule type="expression" dxfId="45" priority="3">
      <formula>AND(M$8="Actuals",N$8="Forecast")</formula>
    </cfRule>
  </conditionalFormatting>
  <conditionalFormatting sqref="M22:V22">
    <cfRule type="expression" dxfId="44"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7:V177">
    <cfRule type="cellIs" priority="5" stopIfTrue="1" operator="greaterThanOrEqual">
      <formula>0</formula>
    </cfRule>
  </conditionalFormatting>
  <conditionalFormatting sqref="U9">
    <cfRule type="expression" dxfId="43" priority="4">
      <formula>AND(U$5="Actuals",V$5="Forecast")</formula>
    </cfRule>
  </conditionalFormatting>
  <conditionalFormatting sqref="V9">
    <cfRule type="expression" dxfId="42" priority="8">
      <formula>AND(V$5="Actuals",#REF!="Forecast")</formula>
    </cfRule>
    <cfRule type="expression" dxfId="41"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3.5" zeroHeight="1"/>
  <cols>
    <col min="1" max="1" width="8.3828125" style="136" customWidth="1"/>
    <col min="2" max="2" width="85.765625" style="136" bestFit="1" customWidth="1"/>
    <col min="3" max="3" width="14.15234375" style="136" customWidth="1"/>
    <col min="4" max="8" width="11.15234375" style="136" customWidth="1"/>
    <col min="9" max="9" width="5" style="136" customWidth="1"/>
    <col min="10" max="10" width="12.84375" style="136" customWidth="1"/>
    <col min="11" max="23" width="9.23046875" style="136" customWidth="1"/>
    <col min="24" max="16384" width="9" style="136" hidden="1"/>
  </cols>
  <sheetData>
    <row r="1" spans="1:23" ht="20">
      <c r="A1" s="362" t="s">
        <v>266</v>
      </c>
      <c r="B1" s="364"/>
      <c r="C1" s="365"/>
      <c r="D1" s="365"/>
      <c r="E1" s="365"/>
      <c r="F1" s="365"/>
      <c r="G1" s="365"/>
      <c r="H1" s="365"/>
      <c r="I1" s="494"/>
    </row>
    <row r="2" spans="1:23" ht="20">
      <c r="A2" s="367" t="str">
        <f>Licensee</f>
        <v>SGN - Southern</v>
      </c>
      <c r="B2" s="369"/>
      <c r="C2" s="370"/>
      <c r="D2" s="370"/>
      <c r="E2" s="370"/>
      <c r="F2" s="370"/>
      <c r="G2" s="370"/>
      <c r="H2" s="370"/>
      <c r="I2" s="372"/>
    </row>
    <row r="3" spans="1:23" ht="20">
      <c r="A3" s="590">
        <f>Reporting_Year</f>
        <v>2024</v>
      </c>
      <c r="B3" s="591" t="str">
        <f>'R5 - Financing'!B3</f>
        <v/>
      </c>
      <c r="C3" s="373"/>
      <c r="D3" s="373"/>
      <c r="E3" s="373"/>
      <c r="F3" s="373"/>
      <c r="G3" s="373"/>
      <c r="H3" s="373"/>
      <c r="I3" s="375"/>
    </row>
    <row r="4" spans="1:23" ht="12.75" customHeight="1">
      <c r="A4" s="592"/>
      <c r="B4" s="592"/>
      <c r="C4" s="592"/>
      <c r="D4" s="592"/>
      <c r="E4" s="592"/>
      <c r="F4" s="592"/>
      <c r="G4" s="592"/>
      <c r="H4" s="592"/>
      <c r="I4" s="593"/>
    </row>
    <row r="5" spans="1:23">
      <c r="A5" s="377"/>
      <c r="B5" s="517"/>
      <c r="C5" s="517"/>
      <c r="D5" s="376" t="str">
        <f t="shared" ref="D5:H5" si="0">IF(D6&lt;=Reporting_Year,"Actuals","Forecast")</f>
        <v>Actuals</v>
      </c>
      <c r="E5" s="376" t="str">
        <f t="shared" si="0"/>
        <v>Actuals</v>
      </c>
      <c r="F5" s="376" t="str">
        <f t="shared" si="0"/>
        <v>Actuals</v>
      </c>
      <c r="G5" s="376" t="str">
        <f t="shared" si="0"/>
        <v>Forecast</v>
      </c>
      <c r="H5" s="376" t="str">
        <f t="shared" si="0"/>
        <v>Forecast</v>
      </c>
      <c r="I5" s="377"/>
      <c r="J5" s="377"/>
      <c r="K5" s="377"/>
      <c r="L5" s="377"/>
      <c r="M5" s="377"/>
      <c r="N5" s="377"/>
      <c r="O5" s="377"/>
      <c r="P5" s="377"/>
      <c r="Q5" s="377"/>
      <c r="R5" s="377"/>
      <c r="S5" s="377"/>
      <c r="T5" s="377"/>
      <c r="U5" s="377"/>
      <c r="V5" s="377"/>
      <c r="W5" s="377"/>
    </row>
    <row r="6" spans="1:23">
      <c r="A6" s="377"/>
      <c r="B6" s="377"/>
      <c r="C6" s="377"/>
      <c r="D6" s="495">
        <f>'RFPR cover'!$C$6</f>
        <v>2022</v>
      </c>
      <c r="E6" s="496">
        <f>D6+1</f>
        <v>2023</v>
      </c>
      <c r="F6" s="496">
        <f t="shared" ref="F6:H6" si="1">E6+1</f>
        <v>2024</v>
      </c>
      <c r="G6" s="496">
        <f t="shared" si="1"/>
        <v>2025</v>
      </c>
      <c r="H6" s="496">
        <f t="shared" si="1"/>
        <v>2026</v>
      </c>
      <c r="I6" s="377"/>
      <c r="J6" s="377"/>
      <c r="K6" s="377"/>
      <c r="L6" s="377"/>
      <c r="M6" s="377"/>
      <c r="N6" s="377"/>
      <c r="O6" s="377"/>
      <c r="P6" s="377"/>
      <c r="Q6" s="377"/>
      <c r="R6" s="377"/>
      <c r="S6" s="377"/>
      <c r="T6" s="377"/>
      <c r="U6" s="377"/>
      <c r="V6" s="377"/>
      <c r="W6" s="377"/>
    </row>
    <row r="7" spans="1:23">
      <c r="A7" s="377"/>
      <c r="B7" s="377"/>
      <c r="C7" s="377"/>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597" t="str">
        <f>RIIO_2_start_date+3&amp;"/"&amp;RIGHT(RIIO_2_start_date+4,2)</f>
        <v>2025/26</v>
      </c>
      <c r="I7" s="377"/>
      <c r="J7" s="377"/>
      <c r="K7" s="377"/>
      <c r="L7" s="377"/>
      <c r="M7" s="377"/>
      <c r="N7" s="377"/>
      <c r="O7" s="377"/>
      <c r="P7" s="377"/>
      <c r="Q7" s="377"/>
      <c r="R7" s="377"/>
      <c r="S7" s="377"/>
      <c r="T7" s="377"/>
      <c r="U7" s="377"/>
      <c r="V7" s="377"/>
      <c r="W7" s="377"/>
    </row>
    <row r="8" spans="1:23">
      <c r="A8" s="377"/>
      <c r="B8" s="377"/>
      <c r="C8" s="377"/>
      <c r="D8" s="377"/>
      <c r="E8" s="377"/>
      <c r="F8" s="377"/>
      <c r="G8" s="377"/>
      <c r="H8" s="377"/>
      <c r="I8" s="377"/>
      <c r="J8" s="377"/>
      <c r="K8" s="377"/>
      <c r="L8" s="377"/>
      <c r="M8" s="377"/>
      <c r="N8" s="377"/>
      <c r="O8" s="377"/>
      <c r="P8" s="377"/>
      <c r="Q8" s="377"/>
      <c r="R8" s="377"/>
      <c r="S8" s="377"/>
      <c r="T8" s="377"/>
      <c r="U8" s="377"/>
      <c r="V8" s="377"/>
      <c r="W8" s="377"/>
    </row>
    <row r="9" spans="1:23">
      <c r="A9" s="377"/>
      <c r="B9" s="94" t="s">
        <v>785</v>
      </c>
      <c r="C9" s="29" t="s">
        <v>520</v>
      </c>
      <c r="D9" s="819">
        <v>-99.371809189999993</v>
      </c>
      <c r="E9" s="826">
        <v>-31</v>
      </c>
      <c r="F9" s="826">
        <v>-139</v>
      </c>
      <c r="G9" s="826">
        <v>-44</v>
      </c>
      <c r="H9" s="826">
        <v>0</v>
      </c>
      <c r="I9" s="377"/>
      <c r="J9" s="377"/>
      <c r="K9" s="377"/>
      <c r="L9" s="377"/>
      <c r="M9" s="377"/>
      <c r="N9" s="377"/>
      <c r="O9" s="377"/>
      <c r="P9" s="377"/>
      <c r="Q9" s="377"/>
      <c r="R9" s="377"/>
      <c r="S9" s="377"/>
      <c r="T9" s="377"/>
      <c r="U9" s="377"/>
      <c r="V9" s="377"/>
      <c r="W9" s="377"/>
    </row>
    <row r="10" spans="1:23">
      <c r="A10" s="377"/>
      <c r="B10" s="94"/>
      <c r="C10" s="377"/>
      <c r="D10" s="377"/>
      <c r="E10" s="377"/>
      <c r="F10" s="377"/>
      <c r="G10" s="377"/>
      <c r="H10" s="377"/>
      <c r="I10" s="377"/>
      <c r="J10" s="377"/>
      <c r="K10" s="377"/>
      <c r="L10" s="377"/>
      <c r="M10" s="377"/>
      <c r="N10" s="377"/>
      <c r="O10" s="377"/>
      <c r="P10" s="377"/>
      <c r="Q10" s="377"/>
      <c r="R10" s="377"/>
      <c r="S10" s="377"/>
      <c r="T10" s="377"/>
      <c r="U10" s="377"/>
      <c r="V10" s="377"/>
      <c r="W10" s="377"/>
    </row>
    <row r="11" spans="1:23">
      <c r="B11" s="94" t="s">
        <v>786</v>
      </c>
      <c r="C11" s="29" t="s">
        <v>520</v>
      </c>
      <c r="D11" s="827">
        <v>-31</v>
      </c>
      <c r="E11" s="827">
        <v>-139</v>
      </c>
      <c r="F11" s="827">
        <v>-44</v>
      </c>
      <c r="G11" s="827">
        <v>0</v>
      </c>
      <c r="H11" s="827">
        <v>0</v>
      </c>
    </row>
    <row r="12" spans="1:23">
      <c r="B12" s="385" t="str">
        <f>'R6a - Net Debt input'!D32</f>
        <v>Bonds</v>
      </c>
      <c r="C12" s="29" t="s">
        <v>520</v>
      </c>
      <c r="D12" s="828">
        <v>2415.4184247538678</v>
      </c>
      <c r="E12" s="828">
        <v>2480.5555555555557</v>
      </c>
      <c r="F12" s="828">
        <v>2731.9971870604782</v>
      </c>
      <c r="G12" s="828">
        <v>2400.1449899008676</v>
      </c>
      <c r="H12" s="828">
        <v>1924.7835352063503</v>
      </c>
    </row>
    <row r="13" spans="1:23">
      <c r="B13" s="385" t="str">
        <f>'R6a - Net Debt input'!D33</f>
        <v>External Loans</v>
      </c>
      <c r="C13" s="29" t="s">
        <v>520</v>
      </c>
      <c r="D13" s="828">
        <v>321.98855507868382</v>
      </c>
      <c r="E13" s="828">
        <v>324.69241773962801</v>
      </c>
      <c r="F13" s="828">
        <v>26.938483547925607</v>
      </c>
      <c r="G13" s="828">
        <v>27.797524989121321</v>
      </c>
      <c r="H13" s="828">
        <v>28.387054654386699</v>
      </c>
    </row>
    <row r="14" spans="1:23">
      <c r="B14" s="385" t="str">
        <f>'R6a - Net Debt input'!D34</f>
        <v>Private Placements</v>
      </c>
      <c r="C14" s="29" t="s">
        <v>520</v>
      </c>
      <c r="D14" s="828">
        <v>250</v>
      </c>
      <c r="E14" s="828">
        <v>365.6</v>
      </c>
      <c r="F14" s="828">
        <v>365.6</v>
      </c>
      <c r="G14" s="828">
        <v>693.00000000000011</v>
      </c>
      <c r="H14" s="828">
        <v>693.00000000000011</v>
      </c>
    </row>
    <row r="15" spans="1:23">
      <c r="B15" s="385" t="str">
        <f>'R6a - Net Debt input'!D35</f>
        <v>Group company loans (licensee lender)</v>
      </c>
      <c r="C15" s="29" t="s">
        <v>520</v>
      </c>
      <c r="D15" s="828">
        <v>0</v>
      </c>
      <c r="E15" s="828">
        <v>0</v>
      </c>
      <c r="F15" s="828">
        <v>0</v>
      </c>
      <c r="G15" s="828">
        <v>0</v>
      </c>
      <c r="H15" s="828">
        <v>0</v>
      </c>
    </row>
    <row r="16" spans="1:23">
      <c r="B16" s="385" t="str">
        <f>'R6a - Net Debt input'!D36</f>
        <v>Group company loans (licensee borrower)</v>
      </c>
      <c r="C16" s="29" t="s">
        <v>520</v>
      </c>
      <c r="D16" s="828">
        <v>0</v>
      </c>
      <c r="E16" s="828">
        <v>0</v>
      </c>
      <c r="F16" s="828">
        <v>0</v>
      </c>
      <c r="G16" s="828">
        <v>0</v>
      </c>
      <c r="H16" s="828">
        <v>0</v>
      </c>
    </row>
    <row r="17" spans="2:10">
      <c r="B17" s="385" t="str">
        <f>'R6a - Net Debt input'!D37</f>
        <v>Group Loans from Finco back to back with finco bond issue</v>
      </c>
      <c r="C17" s="29" t="s">
        <v>520</v>
      </c>
      <c r="D17" s="828">
        <v>0</v>
      </c>
      <c r="E17" s="828">
        <v>0</v>
      </c>
      <c r="F17" s="828">
        <v>0</v>
      </c>
      <c r="G17" s="828">
        <v>0</v>
      </c>
      <c r="H17" s="828">
        <v>0</v>
      </c>
    </row>
    <row r="18" spans="2:10">
      <c r="B18" s="385" t="str">
        <f>'R6a - Net Debt input'!D38</f>
        <v>Swaps Pay Leg</v>
      </c>
      <c r="C18" s="29" t="s">
        <v>520</v>
      </c>
      <c r="D18" s="828">
        <v>540</v>
      </c>
      <c r="E18" s="828">
        <v>655.60693642000001</v>
      </c>
      <c r="F18" s="828">
        <v>655.60693642000001</v>
      </c>
      <c r="G18" s="828">
        <v>655.60693642000001</v>
      </c>
      <c r="H18" s="828">
        <v>655.60693642000001</v>
      </c>
    </row>
    <row r="19" spans="2:10">
      <c r="B19" s="385" t="str">
        <f>'R6a - Net Debt input'!D39</f>
        <v>Swaps Receive Leg</v>
      </c>
      <c r="C19" s="29" t="s">
        <v>520</v>
      </c>
      <c r="D19" s="828">
        <v>-540</v>
      </c>
      <c r="E19" s="828">
        <v>-655.60693642000001</v>
      </c>
      <c r="F19" s="828">
        <v>-655.60693642000001</v>
      </c>
      <c r="G19" s="828">
        <v>-655.60693642000001</v>
      </c>
      <c r="H19" s="828">
        <v>-655.60693642000001</v>
      </c>
    </row>
    <row r="20" spans="2:10">
      <c r="B20" s="385" t="str">
        <f>'R6a - Net Debt input'!D40</f>
        <v>Other</v>
      </c>
      <c r="C20" s="29" t="s">
        <v>520</v>
      </c>
      <c r="D20" s="828">
        <v>0</v>
      </c>
      <c r="E20" s="828">
        <v>0</v>
      </c>
      <c r="F20" s="828">
        <v>0</v>
      </c>
      <c r="G20" s="828">
        <v>0</v>
      </c>
      <c r="H20" s="828">
        <v>0</v>
      </c>
    </row>
    <row r="21" spans="2:10">
      <c r="B21" s="467" t="s">
        <v>787</v>
      </c>
      <c r="C21" s="40" t="s">
        <v>520</v>
      </c>
      <c r="D21" s="829">
        <v>2956.4069798325518</v>
      </c>
      <c r="E21" s="829">
        <v>3031.8479732951837</v>
      </c>
      <c r="F21" s="829">
        <v>3080.5356706084031</v>
      </c>
      <c r="G21" s="829">
        <v>3120.9425148899891</v>
      </c>
      <c r="H21" s="829">
        <v>2646.170589860737</v>
      </c>
      <c r="I21" s="377"/>
      <c r="J21" s="820"/>
    </row>
    <row r="22" spans="2:10">
      <c r="B22" s="467"/>
      <c r="C22" s="29"/>
      <c r="D22" s="41"/>
      <c r="E22" s="41"/>
      <c r="F22" s="41"/>
      <c r="G22" s="41"/>
      <c r="H22" s="41"/>
      <c r="I22" s="377"/>
      <c r="J22" s="377"/>
    </row>
    <row r="23" spans="2:10">
      <c r="B23" s="467" t="s">
        <v>788</v>
      </c>
      <c r="C23" s="599"/>
      <c r="D23" s="821"/>
      <c r="E23" s="821"/>
      <c r="F23" s="821"/>
      <c r="G23" s="821"/>
      <c r="H23" s="821"/>
      <c r="I23" s="377"/>
      <c r="J23" s="377"/>
    </row>
    <row r="24" spans="2:10">
      <c r="B24" s="601" t="str">
        <f>'R6a - Net Debt input'!D61</f>
        <v>Unamortised Issue Costs</v>
      </c>
      <c r="C24" s="29" t="s">
        <v>520</v>
      </c>
      <c r="D24" s="830">
        <v>0</v>
      </c>
      <c r="E24" s="830">
        <v>0</v>
      </c>
      <c r="F24" s="830">
        <v>0</v>
      </c>
      <c r="G24" s="830">
        <v>0</v>
      </c>
      <c r="H24" s="830">
        <v>0</v>
      </c>
      <c r="J24" s="377"/>
    </row>
    <row r="25" spans="2:10">
      <c r="B25" s="601" t="str">
        <f>'R6a - Net Debt input'!D62</f>
        <v>Fixed asset investments not readily convertible to cash</v>
      </c>
      <c r="C25" s="29" t="s">
        <v>520</v>
      </c>
      <c r="D25" s="830">
        <v>0</v>
      </c>
      <c r="E25" s="830">
        <v>0</v>
      </c>
      <c r="F25" s="830">
        <v>0</v>
      </c>
      <c r="G25" s="830">
        <v>0</v>
      </c>
      <c r="H25" s="830">
        <v>0</v>
      </c>
      <c r="J25" s="377"/>
    </row>
    <row r="26" spans="2:10">
      <c r="B26" s="601" t="str">
        <f>'R6a - Net Debt input'!D63</f>
        <v>Preference shares</v>
      </c>
      <c r="C26" s="29" t="s">
        <v>520</v>
      </c>
      <c r="D26" s="830">
        <v>0</v>
      </c>
      <c r="E26" s="830">
        <v>0</v>
      </c>
      <c r="F26" s="830">
        <v>0</v>
      </c>
      <c r="G26" s="830">
        <v>0</v>
      </c>
      <c r="H26" s="830">
        <v>0</v>
      </c>
      <c r="J26" s="377"/>
    </row>
    <row r="27" spans="2:10">
      <c r="B27" s="601" t="str">
        <f>'R6a - Net Debt input'!D64</f>
        <v>Long term loans (Not for benefit of regulated business or distribution in nature)</v>
      </c>
      <c r="C27" s="29" t="s">
        <v>520</v>
      </c>
      <c r="D27" s="830">
        <v>0</v>
      </c>
      <c r="E27" s="830">
        <v>0</v>
      </c>
      <c r="F27" s="830">
        <v>0</v>
      </c>
      <c r="G27" s="830">
        <v>0</v>
      </c>
      <c r="H27" s="830">
        <v>0</v>
      </c>
      <c r="J27" s="377"/>
    </row>
    <row r="28" spans="2:10">
      <c r="B28" s="601" t="str">
        <f>'R6a - Net Debt input'!D65</f>
        <v>Discounts (premiums) for fixed rate debt</v>
      </c>
      <c r="C28" s="29" t="s">
        <v>520</v>
      </c>
      <c r="D28" s="830">
        <v>0</v>
      </c>
      <c r="E28" s="830">
        <v>0</v>
      </c>
      <c r="F28" s="830">
        <v>0</v>
      </c>
      <c r="G28" s="830">
        <v>0</v>
      </c>
      <c r="H28" s="830">
        <v>0</v>
      </c>
      <c r="J28" s="377"/>
    </row>
    <row r="29" spans="2:10">
      <c r="B29" s="601" t="str">
        <f>'R6a - Net Debt input'!D66</f>
        <v>1. Short Term loans from / (to) related parties (deducted from cash balances in row 16)</v>
      </c>
      <c r="C29" s="29" t="s">
        <v>520</v>
      </c>
      <c r="D29" s="830">
        <v>0</v>
      </c>
      <c r="E29" s="830">
        <v>0</v>
      </c>
      <c r="F29" s="830">
        <v>0</v>
      </c>
      <c r="G29" s="830">
        <v>0</v>
      </c>
      <c r="H29" s="830">
        <v>0</v>
      </c>
      <c r="J29" s="377"/>
    </row>
    <row r="30" spans="2:10" ht="12.75" customHeight="1">
      <c r="B30" s="601" t="str">
        <f>'R6a - Net Debt input'!D67</f>
        <v>2. Share of Pooled Cash</v>
      </c>
      <c r="C30" s="29" t="s">
        <v>520</v>
      </c>
      <c r="D30" s="830">
        <v>0</v>
      </c>
      <c r="E30" s="830">
        <v>0</v>
      </c>
      <c r="F30" s="830">
        <v>0</v>
      </c>
      <c r="G30" s="830">
        <v>0</v>
      </c>
      <c r="H30" s="830">
        <v>0</v>
      </c>
      <c r="J30" s="377"/>
    </row>
    <row r="31" spans="2:10">
      <c r="B31" s="601" t="str">
        <f>'R6a - Net Debt input'!D68</f>
        <v>3. Removal of Mark to Market value of interest rate swaps</v>
      </c>
      <c r="C31" s="29" t="s">
        <v>520</v>
      </c>
      <c r="D31" s="830">
        <v>0</v>
      </c>
      <c r="E31" s="830">
        <v>0</v>
      </c>
      <c r="F31" s="830">
        <v>0</v>
      </c>
      <c r="G31" s="830">
        <v>0</v>
      </c>
      <c r="H31" s="830">
        <v>0</v>
      </c>
      <c r="J31" s="377"/>
    </row>
    <row r="32" spans="2:10">
      <c r="B32" s="601" t="str">
        <f>'R6a - Net Debt input'!D69</f>
        <v>4. Removal of Mark to Market value of inflation rate swaps</v>
      </c>
      <c r="C32" s="29" t="s">
        <v>520</v>
      </c>
      <c r="D32" s="830">
        <v>0</v>
      </c>
      <c r="E32" s="830">
        <v>0</v>
      </c>
      <c r="F32" s="830">
        <v>0</v>
      </c>
      <c r="G32" s="830">
        <v>0</v>
      </c>
      <c r="H32" s="830">
        <v>0</v>
      </c>
      <c r="J32" s="377"/>
    </row>
    <row r="33" spans="2:11">
      <c r="B33" s="601" t="str">
        <f>'R6a - Net Debt input'!D70</f>
        <v>5. Removal of Restricted Cash</v>
      </c>
      <c r="C33" s="29" t="s">
        <v>520</v>
      </c>
      <c r="D33" s="830">
        <v>0</v>
      </c>
      <c r="E33" s="830">
        <v>0</v>
      </c>
      <c r="F33" s="830">
        <v>0</v>
      </c>
      <c r="G33" s="830">
        <v>0</v>
      </c>
      <c r="H33" s="830">
        <v>0</v>
      </c>
      <c r="J33" s="377"/>
    </row>
    <row r="34" spans="2:11">
      <c r="B34" s="601" t="str">
        <f>'R6a - Net Debt input'!D71</f>
        <v>6. Forecast accretion on CPI-linked swaps</v>
      </c>
      <c r="C34" s="29" t="s">
        <v>520</v>
      </c>
      <c r="D34" s="830">
        <v>0</v>
      </c>
      <c r="E34" s="830">
        <v>0</v>
      </c>
      <c r="F34" s="830">
        <v>0</v>
      </c>
      <c r="G34" s="830">
        <v>121.68334952675545</v>
      </c>
      <c r="H34" s="830">
        <v>132.34775439915015</v>
      </c>
      <c r="J34" s="377"/>
    </row>
    <row r="35" spans="2:11">
      <c r="B35" s="601" t="str">
        <f>'R6a - Net Debt input'!D72</f>
        <v>7. Accretion on CPI-linked swaps</v>
      </c>
      <c r="C35" s="29" t="s">
        <v>520</v>
      </c>
      <c r="D35" s="830">
        <v>29</v>
      </c>
      <c r="E35" s="830">
        <v>86</v>
      </c>
      <c r="F35" s="830">
        <v>111</v>
      </c>
      <c r="G35" s="830">
        <v>0</v>
      </c>
      <c r="H35" s="830">
        <v>0</v>
      </c>
      <c r="J35" s="377"/>
      <c r="K35" s="822"/>
    </row>
    <row r="36" spans="2:11">
      <c r="B36" s="601" t="str">
        <f>'R6a - Net Debt input'!D73</f>
        <v>8. Drawings on Revolver</v>
      </c>
      <c r="C36" s="29" t="s">
        <v>520</v>
      </c>
      <c r="D36" s="830">
        <v>30</v>
      </c>
      <c r="E36" s="830">
        <v>0</v>
      </c>
      <c r="F36" s="830">
        <v>60</v>
      </c>
      <c r="G36" s="830">
        <v>0</v>
      </c>
      <c r="H36" s="830">
        <v>0</v>
      </c>
    </row>
    <row r="37" spans="2:11">
      <c r="B37" s="601" t="str">
        <f>'R6a - Net Debt input'!D74</f>
        <v>9. [Insert adjustment as necessary]</v>
      </c>
      <c r="C37" s="29" t="s">
        <v>520</v>
      </c>
      <c r="D37" s="830">
        <v>0</v>
      </c>
      <c r="E37" s="830">
        <v>0</v>
      </c>
      <c r="F37" s="830">
        <v>0</v>
      </c>
      <c r="G37" s="830">
        <v>0</v>
      </c>
      <c r="H37" s="830">
        <v>0</v>
      </c>
    </row>
    <row r="38" spans="2:11">
      <c r="B38" s="601" t="str">
        <f>'R6a - Net Debt input'!D75</f>
        <v>10. [Insert adjustment as necessary]</v>
      </c>
      <c r="C38" s="29" t="s">
        <v>520</v>
      </c>
      <c r="D38" s="830">
        <v>0</v>
      </c>
      <c r="E38" s="830">
        <v>0</v>
      </c>
      <c r="F38" s="830">
        <v>0</v>
      </c>
      <c r="G38" s="830">
        <v>0</v>
      </c>
      <c r="H38" s="830">
        <v>0</v>
      </c>
    </row>
    <row r="39" spans="2:11">
      <c r="B39" s="601" t="str">
        <f>'R6a - Net Debt input'!D76</f>
        <v>11. [Insert adjustment as necessary]</v>
      </c>
      <c r="C39" s="29" t="s">
        <v>520</v>
      </c>
      <c r="D39" s="830">
        <v>0</v>
      </c>
      <c r="E39" s="830">
        <v>0</v>
      </c>
      <c r="F39" s="830">
        <v>0</v>
      </c>
      <c r="G39" s="830">
        <v>0</v>
      </c>
      <c r="H39" s="830">
        <v>0</v>
      </c>
    </row>
    <row r="40" spans="2:11">
      <c r="B40" s="602" t="s">
        <v>789</v>
      </c>
      <c r="C40" s="29" t="s">
        <v>520</v>
      </c>
      <c r="D40" s="91">
        <v>3015.4069798325518</v>
      </c>
      <c r="E40" s="91">
        <v>3117.8479732951837</v>
      </c>
      <c r="F40" s="91">
        <v>3251.5356706084031</v>
      </c>
      <c r="G40" s="91">
        <v>3242.6258644167447</v>
      </c>
      <c r="H40" s="91">
        <v>2778.5183442598873</v>
      </c>
    </row>
    <row r="41" spans="2:11">
      <c r="B41" s="603" t="s">
        <v>790</v>
      </c>
      <c r="C41" s="29" t="s">
        <v>520</v>
      </c>
      <c r="D41" s="451"/>
      <c r="E41" s="823"/>
      <c r="F41" s="823"/>
      <c r="G41" s="823">
        <v>251.52058482028633</v>
      </c>
      <c r="H41" s="823">
        <v>787.52820336787318</v>
      </c>
    </row>
    <row r="42" spans="2:11">
      <c r="B42" s="602" t="s">
        <v>791</v>
      </c>
      <c r="C42" s="29" t="s">
        <v>520</v>
      </c>
      <c r="D42" s="18">
        <v>3015.4069798325518</v>
      </c>
      <c r="E42" s="19">
        <v>3117.8479732951837</v>
      </c>
      <c r="F42" s="19">
        <v>3251.5356706084031</v>
      </c>
      <c r="G42" s="19">
        <v>3494.146449237031</v>
      </c>
      <c r="H42" s="19">
        <v>3566.0465476277604</v>
      </c>
    </row>
    <row r="43" spans="2:11">
      <c r="D43" s="627" t="s">
        <v>1216</v>
      </c>
      <c r="E43" s="627" t="s">
        <v>1216</v>
      </c>
      <c r="F43" s="627" t="s">
        <v>1216</v>
      </c>
      <c r="G43" s="627" t="s">
        <v>1216</v>
      </c>
      <c r="H43" s="627" t="s">
        <v>1216</v>
      </c>
    </row>
    <row r="44" spans="2:11"/>
    <row r="45" spans="2:11">
      <c r="B45" s="824" t="s">
        <v>792</v>
      </c>
      <c r="C45" s="29" t="s">
        <v>520</v>
      </c>
      <c r="D45" s="823">
        <v>2913.6594332129048</v>
      </c>
      <c r="E45" s="19">
        <v>3015.4069798325518</v>
      </c>
      <c r="F45" s="19">
        <v>3117.8479732951837</v>
      </c>
      <c r="G45" s="19">
        <v>3251.5356706084031</v>
      </c>
      <c r="H45" s="19">
        <v>3494.146449237031</v>
      </c>
      <c r="I45" s="158"/>
    </row>
    <row r="46" spans="2:11">
      <c r="B46" s="824" t="s">
        <v>793</v>
      </c>
      <c r="C46" s="29" t="s">
        <v>520</v>
      </c>
      <c r="D46" s="832">
        <v>3015.4069798325518</v>
      </c>
      <c r="E46" s="831">
        <v>3117.8479732951837</v>
      </c>
      <c r="F46" s="831">
        <v>3251.5356706084031</v>
      </c>
      <c r="G46" s="831">
        <v>3494.146449237031</v>
      </c>
      <c r="H46" s="831">
        <v>3566.0465476277604</v>
      </c>
      <c r="I46" s="158"/>
    </row>
    <row r="47" spans="2:11">
      <c r="D47" s="825"/>
      <c r="E47" s="825"/>
      <c r="F47" s="825"/>
      <c r="G47" s="825"/>
      <c r="H47" s="825"/>
    </row>
    <row r="48" spans="2:11">
      <c r="B48" s="467" t="s">
        <v>794</v>
      </c>
      <c r="D48" s="825"/>
      <c r="E48" s="825"/>
      <c r="F48" s="825"/>
      <c r="G48" s="825"/>
      <c r="H48" s="825"/>
    </row>
    <row r="49" spans="2:10">
      <c r="B49" s="601" t="s">
        <v>795</v>
      </c>
      <c r="C49" s="29" t="s">
        <v>520</v>
      </c>
      <c r="D49" s="823"/>
      <c r="E49" s="823"/>
      <c r="F49" s="823"/>
      <c r="G49" s="823"/>
      <c r="H49" s="823"/>
    </row>
    <row r="50" spans="2:10">
      <c r="B50" s="601" t="s">
        <v>796</v>
      </c>
      <c r="C50" s="29" t="s">
        <v>520</v>
      </c>
      <c r="D50" s="823"/>
      <c r="E50" s="823"/>
      <c r="F50" s="823"/>
      <c r="G50" s="823"/>
      <c r="H50" s="823"/>
    </row>
    <row r="51" spans="2:10">
      <c r="B51" s="601" t="s">
        <v>797</v>
      </c>
      <c r="C51" s="29" t="s">
        <v>520</v>
      </c>
      <c r="D51" s="823">
        <v>61</v>
      </c>
      <c r="E51" s="823">
        <v>74</v>
      </c>
      <c r="F51" s="823">
        <v>90</v>
      </c>
      <c r="G51" s="823"/>
      <c r="H51" s="823"/>
    </row>
    <row r="52" spans="2:10">
      <c r="B52" s="601" t="s">
        <v>798</v>
      </c>
      <c r="C52" s="29" t="s">
        <v>520</v>
      </c>
      <c r="D52" s="823"/>
      <c r="E52" s="823"/>
      <c r="F52" s="823"/>
      <c r="G52" s="823"/>
      <c r="H52" s="823"/>
    </row>
    <row r="53" spans="2:10">
      <c r="B53" s="601" t="s">
        <v>799</v>
      </c>
      <c r="C53" s="29" t="s">
        <v>520</v>
      </c>
      <c r="D53" s="823"/>
      <c r="E53" s="823"/>
      <c r="F53" s="823"/>
      <c r="G53" s="823"/>
      <c r="H53" s="823"/>
    </row>
    <row r="54" spans="2:10">
      <c r="B54" s="601" t="s">
        <v>800</v>
      </c>
      <c r="C54" s="29" t="s">
        <v>520</v>
      </c>
      <c r="D54" s="823">
        <v>-15</v>
      </c>
      <c r="E54" s="823">
        <v>-69</v>
      </c>
      <c r="F54" s="823">
        <v>1</v>
      </c>
      <c r="G54" s="823"/>
      <c r="H54" s="823"/>
    </row>
    <row r="55" spans="2:10">
      <c r="B55" s="601" t="s">
        <v>801</v>
      </c>
      <c r="C55" s="29" t="s">
        <v>520</v>
      </c>
      <c r="D55" s="823">
        <v>-1</v>
      </c>
      <c r="E55" s="823">
        <v>-3</v>
      </c>
      <c r="F55" s="823">
        <v>-2</v>
      </c>
      <c r="G55" s="823"/>
      <c r="H55" s="823"/>
    </row>
    <row r="56" spans="2:10">
      <c r="B56" s="601" t="s">
        <v>802</v>
      </c>
      <c r="C56" s="29" t="s">
        <v>520</v>
      </c>
      <c r="D56" s="823">
        <v>-8</v>
      </c>
      <c r="E56" s="823">
        <v>-7</v>
      </c>
      <c r="F56" s="823">
        <v>-68.954977999999997</v>
      </c>
      <c r="G56" s="823"/>
      <c r="H56" s="823"/>
    </row>
    <row r="57" spans="2:10">
      <c r="B57" s="601" t="s">
        <v>803</v>
      </c>
      <c r="C57" s="29" t="s">
        <v>520</v>
      </c>
      <c r="D57" s="823">
        <v>-2.1397059089839559</v>
      </c>
      <c r="E57" s="823">
        <v>-4.1506564531609911</v>
      </c>
      <c r="F57" s="823">
        <v>-3.1344515673383739</v>
      </c>
      <c r="G57" s="823"/>
      <c r="H57" s="823"/>
    </row>
    <row r="58" spans="2:10">
      <c r="B58" s="601" t="s">
        <v>804</v>
      </c>
      <c r="C58" s="29" t="s">
        <v>520</v>
      </c>
      <c r="D58" s="823"/>
      <c r="E58" s="823"/>
      <c r="F58" s="823"/>
      <c r="G58" s="823"/>
      <c r="H58" s="823"/>
    </row>
    <row r="59" spans="2:10">
      <c r="B59" s="601" t="s">
        <v>805</v>
      </c>
      <c r="C59" s="29" t="s">
        <v>520</v>
      </c>
      <c r="D59" s="18">
        <v>3050.2672739235677</v>
      </c>
      <c r="E59" s="18">
        <v>3108.6973168420227</v>
      </c>
      <c r="F59" s="18">
        <v>3268.4462410410647</v>
      </c>
      <c r="G59" s="18">
        <v>3494.146449237031</v>
      </c>
      <c r="H59" s="18">
        <v>3566.0465476277604</v>
      </c>
      <c r="I59" s="1213"/>
    </row>
    <row r="60" spans="2:10">
      <c r="D60" s="825"/>
      <c r="E60" s="825"/>
      <c r="F60" s="825"/>
      <c r="G60" s="825"/>
      <c r="H60" s="825"/>
    </row>
    <row r="61" spans="2:10">
      <c r="B61" s="467" t="s">
        <v>806</v>
      </c>
    </row>
    <row r="62" spans="2:10">
      <c r="B62" s="136" t="s">
        <v>807</v>
      </c>
      <c r="C62" s="158" t="s">
        <v>484</v>
      </c>
      <c r="D62" s="833">
        <v>0</v>
      </c>
      <c r="E62" s="833">
        <v>0</v>
      </c>
      <c r="F62" s="833">
        <v>0</v>
      </c>
      <c r="G62" s="833">
        <v>0</v>
      </c>
      <c r="H62" s="833">
        <v>0</v>
      </c>
    </row>
    <row r="63" spans="2:10">
      <c r="B63" s="136" t="s">
        <v>737</v>
      </c>
      <c r="C63" s="158" t="s">
        <v>484</v>
      </c>
      <c r="D63" s="834">
        <v>1</v>
      </c>
      <c r="E63" s="835">
        <v>1</v>
      </c>
      <c r="F63" s="835">
        <v>1</v>
      </c>
      <c r="G63" s="835">
        <v>1</v>
      </c>
      <c r="H63" s="835">
        <v>1</v>
      </c>
      <c r="J63" s="822"/>
    </row>
    <row r="64" spans="2:10">
      <c r="C64" s="158"/>
      <c r="D64" s="158"/>
      <c r="E64" s="158"/>
      <c r="F64" s="158"/>
      <c r="G64" s="158"/>
      <c r="H64" s="158"/>
      <c r="I64" s="158"/>
    </row>
    <row r="65" spans="2:8">
      <c r="B65" s="136" t="s">
        <v>808</v>
      </c>
      <c r="C65" s="29" t="s">
        <v>520</v>
      </c>
      <c r="D65" s="836">
        <v>2964.5332065227285</v>
      </c>
      <c r="E65" s="837">
        <v>3066.6274765638677</v>
      </c>
      <c r="F65" s="837">
        <v>3184.6918219517934</v>
      </c>
      <c r="G65" s="837">
        <v>3372.8410599227172</v>
      </c>
      <c r="H65" s="837">
        <v>3530.0964984323955</v>
      </c>
    </row>
    <row r="66" spans="2:8">
      <c r="B66" s="136" t="s">
        <v>809</v>
      </c>
      <c r="C66" s="29" t="s">
        <v>520</v>
      </c>
      <c r="D66" s="838">
        <v>1278.0403068795804</v>
      </c>
      <c r="E66" s="839">
        <v>1516.9263665701005</v>
      </c>
      <c r="F66" s="839">
        <v>1675.849035231055</v>
      </c>
      <c r="G66" s="839">
        <v>1651.4062003327381</v>
      </c>
      <c r="H66" s="839">
        <v>1635.7294651248594</v>
      </c>
    </row>
    <row r="67" spans="2:8">
      <c r="B67" s="136" t="s">
        <v>810</v>
      </c>
      <c r="C67" s="29" t="s">
        <v>520</v>
      </c>
      <c r="D67" s="840">
        <v>4242.5735134023089</v>
      </c>
      <c r="E67" s="840">
        <v>4583.5538431339683</v>
      </c>
      <c r="F67" s="840">
        <v>4860.5408571828484</v>
      </c>
      <c r="G67" s="840">
        <v>5024.2472602554553</v>
      </c>
      <c r="H67" s="840">
        <v>5165.8259635572549</v>
      </c>
    </row>
    <row r="68" spans="2:8">
      <c r="B68" s="136" t="s">
        <v>811</v>
      </c>
      <c r="C68" s="29" t="s">
        <v>484</v>
      </c>
      <c r="D68" s="841">
        <v>0.69875824123206232</v>
      </c>
      <c r="E68" s="842">
        <v>0.66905016969694542</v>
      </c>
      <c r="F68" s="842">
        <v>0.65521346605810227</v>
      </c>
      <c r="G68" s="842">
        <v>0.67131271317073415</v>
      </c>
      <c r="H68" s="842">
        <v>0.68335567696932731</v>
      </c>
    </row>
    <row r="69" spans="2:8">
      <c r="B69" s="136" t="s">
        <v>24</v>
      </c>
      <c r="C69" s="29" t="s">
        <v>484</v>
      </c>
      <c r="D69" s="843">
        <v>0.6</v>
      </c>
      <c r="E69" s="844">
        <v>0.6</v>
      </c>
      <c r="F69" s="844">
        <v>0.6</v>
      </c>
      <c r="G69" s="844">
        <v>0.6</v>
      </c>
      <c r="H69" s="844">
        <v>0.6</v>
      </c>
    </row>
    <row r="70" spans="2:8">
      <c r="B70" s="136" t="s">
        <v>812</v>
      </c>
      <c r="C70" s="29" t="s">
        <v>484</v>
      </c>
      <c r="D70" s="845">
        <v>9.8758241232062338E-2</v>
      </c>
      <c r="E70" s="846">
        <v>6.905016969694544E-2</v>
      </c>
      <c r="F70" s="846">
        <v>5.521346605810229E-2</v>
      </c>
      <c r="G70" s="846">
        <v>7.1312713170734177E-2</v>
      </c>
      <c r="H70" s="846">
        <v>8.335567696932733E-2</v>
      </c>
    </row>
    <row r="71" spans="2:8"/>
    <row r="72" spans="2:8">
      <c r="B72" s="136" t="s">
        <v>813</v>
      </c>
      <c r="C72" s="506" t="str">
        <f>Data!$C$9</f>
        <v>£m 18/19</v>
      </c>
      <c r="D72" s="847">
        <v>2676.3599730659525</v>
      </c>
      <c r="E72" s="848">
        <v>2569.5371413321468</v>
      </c>
      <c r="F72" s="848">
        <v>2521.0403228998202</v>
      </c>
      <c r="G72" s="848">
        <v>2603.3655996676412</v>
      </c>
      <c r="H72" s="848">
        <v>2681.5943123270404</v>
      </c>
    </row>
    <row r="73" spans="2:8">
      <c r="B73" s="136" t="s">
        <v>814</v>
      </c>
      <c r="C73" s="506" t="str">
        <f>Data!$C$9</f>
        <v>£m 18/19</v>
      </c>
      <c r="D73" s="849">
        <v>1153.8059056891223</v>
      </c>
      <c r="E73" s="850">
        <v>1271.037538584683</v>
      </c>
      <c r="F73" s="850">
        <v>1326.6222382299327</v>
      </c>
      <c r="G73" s="850">
        <v>1274.6565926597823</v>
      </c>
      <c r="H73" s="850">
        <v>1242.5617351062274</v>
      </c>
    </row>
    <row r="74" spans="2:8">
      <c r="B74" s="136" t="s">
        <v>815</v>
      </c>
      <c r="C74" s="506" t="str">
        <f>Data!$C$9</f>
        <v>£m 18/19</v>
      </c>
      <c r="D74" s="840">
        <v>3830.165878755075</v>
      </c>
      <c r="E74" s="840">
        <v>3840.5746799168296</v>
      </c>
      <c r="F74" s="840">
        <v>3847.6625611297532</v>
      </c>
      <c r="G74" s="840">
        <v>3878.0221923274235</v>
      </c>
      <c r="H74" s="840">
        <v>3924.1560474332678</v>
      </c>
    </row>
    <row r="75" spans="2:8">
      <c r="B75" s="136" t="s">
        <v>811</v>
      </c>
      <c r="C75" s="29" t="s">
        <v>484</v>
      </c>
      <c r="D75" s="841">
        <v>0.69875824123206232</v>
      </c>
      <c r="E75" s="842">
        <v>0.66905016969694542</v>
      </c>
      <c r="F75" s="842">
        <v>0.65521346605810227</v>
      </c>
      <c r="G75" s="842">
        <v>0.67131271317073415</v>
      </c>
      <c r="H75" s="842">
        <v>0.68335567696932731</v>
      </c>
    </row>
    <row r="76" spans="2:8">
      <c r="B76" s="136" t="s">
        <v>24</v>
      </c>
      <c r="C76" s="29" t="s">
        <v>484</v>
      </c>
      <c r="D76" s="843">
        <v>0.6</v>
      </c>
      <c r="E76" s="844">
        <v>0.6</v>
      </c>
      <c r="F76" s="844">
        <v>0.6</v>
      </c>
      <c r="G76" s="844">
        <v>0.6</v>
      </c>
      <c r="H76" s="844">
        <v>0.6</v>
      </c>
    </row>
    <row r="77" spans="2:8">
      <c r="B77" s="136" t="s">
        <v>812</v>
      </c>
      <c r="C77" s="29" t="s">
        <v>484</v>
      </c>
      <c r="D77" s="845">
        <v>9.8758241232062338E-2</v>
      </c>
      <c r="E77" s="846">
        <v>6.905016969694544E-2</v>
      </c>
      <c r="F77" s="846">
        <v>5.521346605810229E-2</v>
      </c>
      <c r="G77" s="846">
        <v>7.1312713170734177E-2</v>
      </c>
      <c r="H77" s="846">
        <v>8.335567696932733E-2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40" priority="3">
      <formula>D$5="Forecast"</formula>
    </cfRule>
    <cfRule type="expression" dxfId="39" priority="4">
      <formula>C$12="N/A"</formula>
    </cfRule>
  </conditionalFormatting>
  <conditionalFormatting sqref="D41:F41">
    <cfRule type="expression" dxfId="38" priority="2">
      <formula>D$5="Actuals"</formula>
    </cfRule>
  </conditionalFormatting>
  <conditionalFormatting sqref="G41:H41">
    <cfRule type="expression" dxfId="37" priority="1">
      <formula>G$5="Actuals"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zoomScaleNormal="100" workbookViewId="0"/>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79" t="s">
        <v>267</v>
      </c>
      <c r="B1" s="386"/>
      <c r="C1" s="386"/>
      <c r="D1" s="388"/>
      <c r="E1" s="388"/>
      <c r="F1" s="388"/>
      <c r="G1" s="388"/>
      <c r="H1" s="388"/>
      <c r="I1" s="1162"/>
      <c r="J1" s="1162"/>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row>
    <row r="2" spans="1:42" ht="20">
      <c r="A2" s="339" t="str">
        <f>Licensee</f>
        <v>SGN - Southern</v>
      </c>
      <c r="B2" s="391"/>
      <c r="C2" s="391"/>
      <c r="D2" s="6"/>
      <c r="E2" s="6"/>
      <c r="F2" s="6"/>
      <c r="G2" s="6"/>
      <c r="H2" s="6"/>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row>
    <row r="3" spans="1:42" ht="20">
      <c r="A3" s="1163">
        <f>Reporting_Year</f>
        <v>2024</v>
      </c>
      <c r="B3" s="1164"/>
      <c r="C3" s="1164"/>
      <c r="D3" s="1164"/>
      <c r="E3" s="1164"/>
      <c r="F3" s="1164"/>
      <c r="G3" s="394"/>
      <c r="H3" s="394"/>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row>
    <row r="4" spans="1:42" ht="15">
      <c r="A4" s="1165"/>
      <c r="B4" s="1166"/>
      <c r="C4" s="1166"/>
      <c r="D4" s="1167"/>
      <c r="E4" s="1167"/>
      <c r="F4" s="1165"/>
      <c r="G4" s="1165"/>
      <c r="H4" s="1165"/>
      <c r="I4" s="1165"/>
      <c r="J4" s="1168"/>
      <c r="K4" s="1168"/>
      <c r="L4" s="1168"/>
      <c r="M4" s="1168"/>
      <c r="N4" s="1168"/>
      <c r="O4" s="1168"/>
      <c r="P4" s="1168"/>
      <c r="Q4" s="1168"/>
      <c r="R4" s="1169"/>
      <c r="S4" s="1169"/>
      <c r="T4" s="1169"/>
      <c r="U4" s="1169"/>
      <c r="V4" s="1169"/>
      <c r="W4" s="1169"/>
      <c r="X4" s="1167"/>
      <c r="Y4" s="1169"/>
      <c r="Z4" s="1167"/>
      <c r="AA4" s="1167"/>
      <c r="AB4" s="1167"/>
      <c r="AC4" s="1167"/>
      <c r="AD4" s="1167"/>
      <c r="AE4" s="1167"/>
      <c r="AF4" s="1167"/>
      <c r="AG4" s="1167"/>
      <c r="AH4" s="1167"/>
      <c r="AI4" s="1167"/>
      <c r="AJ4" s="1167"/>
      <c r="AK4" s="1167"/>
      <c r="AL4" s="1167"/>
      <c r="AM4" s="1167"/>
      <c r="AN4" s="1167"/>
      <c r="AO4" s="1167"/>
      <c r="AP4" s="1167"/>
    </row>
    <row r="5" spans="1:42" ht="16">
      <c r="A5" s="1165"/>
      <c r="B5" s="1170" t="s">
        <v>816</v>
      </c>
      <c r="C5" s="1170"/>
      <c r="D5" s="1171"/>
      <c r="E5" s="1171"/>
      <c r="F5" s="1171"/>
      <c r="G5" s="1171"/>
      <c r="H5" s="1171"/>
      <c r="I5" s="1171"/>
      <c r="J5" s="1171"/>
      <c r="K5" s="1171"/>
      <c r="L5" s="1171"/>
      <c r="M5" s="1171"/>
      <c r="N5" s="1171"/>
      <c r="O5" s="1171"/>
      <c r="P5" s="1171"/>
      <c r="Q5" s="1171"/>
      <c r="R5" s="1172"/>
      <c r="S5" s="1172"/>
      <c r="T5" s="1171" t="s">
        <v>817</v>
      </c>
      <c r="U5" s="1171"/>
      <c r="V5" s="1171"/>
      <c r="W5" s="1171"/>
      <c r="X5" s="1171"/>
      <c r="Y5" s="1171"/>
      <c r="Z5" s="1171"/>
      <c r="AA5" s="1171"/>
      <c r="AB5" s="1171"/>
      <c r="AC5" s="1171"/>
      <c r="AD5" s="1171"/>
      <c r="AE5" s="1171"/>
      <c r="AF5" s="1171"/>
      <c r="AG5" s="1171"/>
      <c r="AH5" s="1171"/>
      <c r="AI5" s="1171"/>
      <c r="AJ5" s="1171"/>
      <c r="AK5" s="1171"/>
      <c r="AL5" s="1171"/>
      <c r="AM5" s="1171"/>
      <c r="AN5" s="1171"/>
      <c r="AO5" s="1171"/>
      <c r="AP5" s="1171"/>
    </row>
    <row r="6" spans="1:42" ht="16">
      <c r="A6" s="1173"/>
      <c r="B6" s="1174"/>
      <c r="C6" s="1174"/>
      <c r="D6" s="1172"/>
      <c r="E6" s="1172"/>
      <c r="F6" s="1172"/>
      <c r="G6" s="1172"/>
      <c r="H6" s="1172"/>
      <c r="I6" s="1172"/>
      <c r="J6" s="1172"/>
      <c r="K6" s="1172"/>
      <c r="L6" s="1172"/>
      <c r="M6" s="1172"/>
      <c r="N6" s="1172"/>
      <c r="O6" s="1172"/>
      <c r="P6" s="1172"/>
      <c r="Q6" s="1172"/>
      <c r="R6" s="1172"/>
      <c r="S6" s="1172"/>
      <c r="T6" s="1172"/>
      <c r="U6" s="1172"/>
      <c r="V6" s="1172"/>
      <c r="W6" s="1172"/>
      <c r="X6" s="1172"/>
      <c r="Y6" s="1172"/>
      <c r="Z6" s="1172"/>
      <c r="AA6" s="1172"/>
      <c r="AB6" s="1172"/>
      <c r="AC6" s="1172"/>
      <c r="AD6" s="1172"/>
      <c r="AE6" s="1172"/>
      <c r="AF6" s="1172"/>
      <c r="AG6" s="1172"/>
      <c r="AH6" s="1172"/>
      <c r="AI6" s="1172"/>
      <c r="AJ6" s="1172"/>
      <c r="AK6" s="1172"/>
      <c r="AL6" s="1172"/>
      <c r="AM6" s="1172"/>
      <c r="AN6" s="1173"/>
      <c r="AO6" s="1173"/>
      <c r="AP6" s="1173"/>
    </row>
    <row r="7" spans="1:42" ht="16">
      <c r="A7" s="1173"/>
      <c r="B7" s="1165" t="s">
        <v>520</v>
      </c>
      <c r="C7" s="1165"/>
      <c r="D7" s="1172"/>
      <c r="E7" s="1172"/>
      <c r="F7" s="1172"/>
      <c r="G7" s="1172"/>
      <c r="H7" s="1172"/>
      <c r="I7" s="1172"/>
      <c r="J7" s="1172"/>
      <c r="K7" s="1172"/>
      <c r="L7" s="1172"/>
      <c r="M7" s="1172"/>
      <c r="N7" s="1172"/>
      <c r="O7" s="1172"/>
      <c r="P7" s="1172"/>
      <c r="Q7" s="1172"/>
      <c r="R7" s="1172"/>
      <c r="S7" s="1169"/>
      <c r="T7" s="1449" t="s">
        <v>696</v>
      </c>
      <c r="U7" s="1450"/>
      <c r="V7" s="1450"/>
      <c r="W7" s="1450"/>
      <c r="X7" s="1451"/>
      <c r="Y7" s="1452" t="s">
        <v>697</v>
      </c>
      <c r="Z7" s="1453"/>
      <c r="AA7" s="1453"/>
      <c r="AB7" s="1453"/>
      <c r="AC7" s="1454"/>
      <c r="AD7" s="1172"/>
      <c r="AE7" s="1172"/>
      <c r="AF7" s="1172"/>
      <c r="AG7" s="1172"/>
      <c r="AH7" s="1172"/>
      <c r="AI7" s="1172"/>
      <c r="AJ7" s="1172"/>
      <c r="AK7" s="1172"/>
      <c r="AL7" s="1172"/>
      <c r="AM7" s="1172"/>
      <c r="AN7" s="1173"/>
      <c r="AO7" s="1173"/>
      <c r="AP7" s="1173"/>
    </row>
    <row r="8" spans="1:42">
      <c r="A8" s="868"/>
      <c r="B8" s="1175"/>
      <c r="C8" s="1175"/>
      <c r="D8" s="1176"/>
      <c r="E8" s="1176"/>
      <c r="F8" s="868"/>
      <c r="G8" s="868"/>
      <c r="H8" s="868"/>
      <c r="I8" s="868"/>
      <c r="J8" s="868"/>
      <c r="K8" s="868"/>
      <c r="L8" s="868"/>
      <c r="M8" s="868"/>
      <c r="N8" s="868"/>
      <c r="O8" s="868"/>
      <c r="P8" s="868"/>
      <c r="Q8" s="868"/>
      <c r="R8" s="868"/>
      <c r="S8" s="868"/>
      <c r="T8" s="1177" t="str">
        <f t="shared" ref="T8:AC8" si="0">IF(T9&lt;=Reporting_Year,"Actuals","Forecast")</f>
        <v>Actuals</v>
      </c>
      <c r="U8" s="1178" t="str">
        <f t="shared" si="0"/>
        <v>Actuals</v>
      </c>
      <c r="V8" s="1178" t="str">
        <f t="shared" si="0"/>
        <v>Actuals</v>
      </c>
      <c r="W8" s="1178" t="str">
        <f t="shared" si="0"/>
        <v>Forecast</v>
      </c>
      <c r="X8" s="1178" t="str">
        <f t="shared" si="0"/>
        <v>Forecast</v>
      </c>
      <c r="Y8" s="1178" t="str">
        <f t="shared" si="0"/>
        <v>Forecast</v>
      </c>
      <c r="Z8" s="1178" t="str">
        <f t="shared" si="0"/>
        <v>Forecast</v>
      </c>
      <c r="AA8" s="1178" t="str">
        <f t="shared" si="0"/>
        <v>Forecast</v>
      </c>
      <c r="AB8" s="1179" t="str">
        <f t="shared" si="0"/>
        <v>Forecast</v>
      </c>
      <c r="AC8" s="1180" t="str">
        <f t="shared" si="0"/>
        <v>Forecast</v>
      </c>
      <c r="AD8" s="868"/>
      <c r="AE8" s="868"/>
      <c r="AF8" s="868"/>
      <c r="AG8" s="868"/>
      <c r="AH8" s="868"/>
      <c r="AI8" s="868"/>
      <c r="AJ8" s="868"/>
      <c r="AK8" s="868"/>
      <c r="AL8" s="868"/>
      <c r="AM8" s="868"/>
      <c r="AN8" s="868"/>
      <c r="AO8" s="868"/>
      <c r="AP8" s="868"/>
    </row>
    <row r="9" spans="1:42">
      <c r="A9" s="868"/>
      <c r="B9" s="1181"/>
      <c r="C9" s="1181"/>
      <c r="D9" s="1176"/>
      <c r="E9" s="1176"/>
      <c r="F9" s="868" t="s">
        <v>698</v>
      </c>
      <c r="G9" s="868"/>
      <c r="H9" s="868"/>
      <c r="I9" s="868"/>
      <c r="J9" s="868"/>
      <c r="K9" s="868"/>
      <c r="L9" s="868"/>
      <c r="M9" s="868"/>
      <c r="N9" s="868"/>
      <c r="O9" s="1182">
        <f>RIIO_2_start_date - 2022</f>
        <v>0</v>
      </c>
      <c r="P9" s="868"/>
      <c r="Q9" s="868"/>
      <c r="R9" s="868"/>
      <c r="S9" s="1183" t="s">
        <v>699</v>
      </c>
      <c r="T9" s="24">
        <f>RIIO_2_start_date</f>
        <v>2022</v>
      </c>
      <c r="U9" s="25">
        <f>T9+1</f>
        <v>2023</v>
      </c>
      <c r="V9" s="25">
        <f t="shared" ref="V9:AC9" si="1">U9+1</f>
        <v>2024</v>
      </c>
      <c r="W9" s="25">
        <f t="shared" si="1"/>
        <v>2025</v>
      </c>
      <c r="X9" s="25">
        <f t="shared" si="1"/>
        <v>2026</v>
      </c>
      <c r="Y9" s="25">
        <f t="shared" si="1"/>
        <v>2027</v>
      </c>
      <c r="Z9" s="25">
        <f t="shared" si="1"/>
        <v>2028</v>
      </c>
      <c r="AA9" s="1184">
        <f t="shared" si="1"/>
        <v>2029</v>
      </c>
      <c r="AB9" s="1185">
        <f t="shared" si="1"/>
        <v>2030</v>
      </c>
      <c r="AC9" s="1186">
        <f t="shared" si="1"/>
        <v>2031</v>
      </c>
      <c r="AD9" s="868"/>
      <c r="AE9" s="868"/>
      <c r="AF9" s="868"/>
      <c r="AG9" s="868"/>
      <c r="AH9" s="868"/>
      <c r="AI9" s="868"/>
      <c r="AJ9" s="868"/>
      <c r="AK9" s="868"/>
      <c r="AL9" s="868"/>
      <c r="AM9" s="868"/>
      <c r="AN9" s="868"/>
      <c r="AO9" s="868"/>
      <c r="AP9" s="868"/>
    </row>
    <row r="10" spans="1:42">
      <c r="A10" s="868"/>
      <c r="B10" s="1181"/>
      <c r="C10" s="1181"/>
      <c r="D10" s="868"/>
      <c r="E10" s="868"/>
      <c r="F10" s="868"/>
      <c r="G10" s="868"/>
      <c r="H10" s="868"/>
      <c r="I10" s="868"/>
      <c r="J10" s="868"/>
      <c r="K10" s="868"/>
      <c r="L10" s="868"/>
      <c r="M10" s="868"/>
      <c r="N10" s="868"/>
      <c r="O10" s="868"/>
      <c r="P10" s="868"/>
      <c r="Q10" s="868"/>
      <c r="R10" s="868"/>
      <c r="S10" s="868" t="s">
        <v>818</v>
      </c>
      <c r="T10" s="1187">
        <f>DATE(T$9 - 1, 4, 1)</f>
        <v>44287</v>
      </c>
      <c r="U10" s="1187">
        <f t="shared" ref="U10:AC10" si="2">DATE(U$9 - 1, 4, 1)</f>
        <v>44652</v>
      </c>
      <c r="V10" s="1187">
        <f t="shared" si="2"/>
        <v>45017</v>
      </c>
      <c r="W10" s="1187">
        <f t="shared" si="2"/>
        <v>45383</v>
      </c>
      <c r="X10" s="1187">
        <f t="shared" si="2"/>
        <v>45748</v>
      </c>
      <c r="Y10" s="1187">
        <f t="shared" si="2"/>
        <v>46113</v>
      </c>
      <c r="Z10" s="1187">
        <f t="shared" si="2"/>
        <v>46478</v>
      </c>
      <c r="AA10" s="1187">
        <f t="shared" si="2"/>
        <v>46844</v>
      </c>
      <c r="AB10" s="1187">
        <f t="shared" si="2"/>
        <v>47209</v>
      </c>
      <c r="AC10" s="1187">
        <f t="shared" si="2"/>
        <v>47574</v>
      </c>
      <c r="AD10" s="868"/>
      <c r="AE10" s="868"/>
      <c r="AF10" s="868"/>
      <c r="AG10" s="868"/>
      <c r="AH10" s="868"/>
      <c r="AI10" s="868"/>
      <c r="AJ10" s="868"/>
      <c r="AK10" s="868"/>
      <c r="AL10" s="868"/>
      <c r="AM10" s="868"/>
      <c r="AN10" s="868"/>
      <c r="AO10" s="868"/>
      <c r="AP10" s="868"/>
    </row>
    <row r="11" spans="1:42">
      <c r="A11" s="868"/>
      <c r="B11" s="868"/>
      <c r="C11" s="868"/>
      <c r="D11" s="868"/>
      <c r="E11" s="868"/>
      <c r="F11" s="868"/>
      <c r="G11" s="868"/>
      <c r="H11" s="868"/>
      <c r="I11" s="868"/>
      <c r="J11" s="868"/>
      <c r="K11" s="868"/>
      <c r="L11" s="868"/>
      <c r="M11" s="868"/>
      <c r="N11" s="868"/>
      <c r="O11" s="868"/>
      <c r="P11" s="868"/>
      <c r="Q11" s="868"/>
      <c r="R11" s="868"/>
      <c r="S11" s="868" t="s">
        <v>35</v>
      </c>
      <c r="T11" s="1187">
        <f>DATE(T$9, 3, 31)</f>
        <v>44651</v>
      </c>
      <c r="U11" s="1187">
        <f t="shared" ref="U11:AC11" si="3">DATE(U$9, 3, 31)</f>
        <v>45016</v>
      </c>
      <c r="V11" s="1187">
        <f t="shared" si="3"/>
        <v>45382</v>
      </c>
      <c r="W11" s="1187">
        <f t="shared" si="3"/>
        <v>45747</v>
      </c>
      <c r="X11" s="1187">
        <f t="shared" si="3"/>
        <v>46112</v>
      </c>
      <c r="Y11" s="1187">
        <f t="shared" si="3"/>
        <v>46477</v>
      </c>
      <c r="Z11" s="1187">
        <f t="shared" si="3"/>
        <v>46843</v>
      </c>
      <c r="AA11" s="1187">
        <f t="shared" si="3"/>
        <v>47208</v>
      </c>
      <c r="AB11" s="1187">
        <f t="shared" si="3"/>
        <v>47573</v>
      </c>
      <c r="AC11" s="1187">
        <f t="shared" si="3"/>
        <v>47938</v>
      </c>
      <c r="AD11" s="868"/>
      <c r="AE11" s="868"/>
      <c r="AF11" s="868"/>
      <c r="AG11" s="868"/>
      <c r="AH11" s="868"/>
      <c r="AI11" s="868"/>
      <c r="AJ11" s="868"/>
      <c r="AK11" s="868"/>
      <c r="AL11" s="868"/>
      <c r="AM11" s="868"/>
      <c r="AN11" s="868"/>
      <c r="AO11" s="868"/>
      <c r="AP11" s="868"/>
    </row>
    <row r="12" spans="1:42">
      <c r="A12" s="868"/>
      <c r="B12" s="1188" t="s">
        <v>819</v>
      </c>
      <c r="C12" s="1188"/>
      <c r="D12" s="1176" t="s">
        <v>820</v>
      </c>
      <c r="E12" s="1176"/>
      <c r="F12" s="868"/>
      <c r="G12" s="868"/>
      <c r="H12" s="868"/>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row>
    <row r="13" spans="1:42" outlineLevel="1">
      <c r="A13" s="868"/>
      <c r="B13" s="1181"/>
      <c r="C13" s="1181"/>
      <c r="D13" s="868"/>
      <c r="E13" s="868"/>
      <c r="F13" s="1189"/>
      <c r="G13" s="1189"/>
      <c r="H13" s="1189"/>
      <c r="I13" s="1189"/>
      <c r="J13" s="868"/>
      <c r="K13" s="868"/>
      <c r="L13" s="868"/>
      <c r="M13" s="868"/>
      <c r="N13" s="868"/>
      <c r="O13" s="868"/>
      <c r="P13" s="868"/>
      <c r="Q13" s="868"/>
      <c r="R13" s="868"/>
      <c r="S13" s="868"/>
      <c r="T13" s="1190" t="s">
        <v>705</v>
      </c>
      <c r="U13" s="1191" t="s">
        <v>705</v>
      </c>
      <c r="V13" s="1191" t="s">
        <v>705</v>
      </c>
      <c r="W13" s="1191" t="s">
        <v>705</v>
      </c>
      <c r="X13" s="1191" t="s">
        <v>705</v>
      </c>
      <c r="Y13" s="1191" t="s">
        <v>705</v>
      </c>
      <c r="Z13" s="1191" t="s">
        <v>705</v>
      </c>
      <c r="AA13" s="1192" t="s">
        <v>705</v>
      </c>
      <c r="AB13" s="1193" t="s">
        <v>705</v>
      </c>
      <c r="AC13" s="1191" t="s">
        <v>705</v>
      </c>
      <c r="AD13" s="868"/>
      <c r="AE13" s="868"/>
      <c r="AF13" s="868"/>
      <c r="AG13" s="868"/>
      <c r="AH13" s="868"/>
      <c r="AI13" s="868"/>
      <c r="AJ13" s="868"/>
      <c r="AK13" s="868"/>
      <c r="AL13" s="868"/>
      <c r="AM13" s="868"/>
      <c r="AN13" s="868"/>
      <c r="AO13" s="868"/>
      <c r="AP13" s="868"/>
    </row>
    <row r="14" spans="1:42" outlineLevel="1">
      <c r="A14" s="868"/>
      <c r="B14" s="1181"/>
      <c r="C14" s="1181"/>
      <c r="D14" s="868"/>
      <c r="E14" s="868"/>
      <c r="F14" s="868" t="s">
        <v>821</v>
      </c>
      <c r="G14" s="868"/>
      <c r="H14" s="868"/>
      <c r="I14" s="868"/>
      <c r="J14" s="868"/>
      <c r="K14" s="868"/>
      <c r="L14" s="868"/>
      <c r="M14" s="868"/>
      <c r="N14" s="868"/>
      <c r="O14" s="868"/>
      <c r="P14" s="868"/>
      <c r="Q14" s="868"/>
      <c r="R14" s="868"/>
      <c r="S14" s="868"/>
      <c r="T14" s="108">
        <v>0</v>
      </c>
      <c r="U14" s="108">
        <v>-1</v>
      </c>
      <c r="V14" s="108">
        <v>-12</v>
      </c>
      <c r="W14" s="108"/>
      <c r="X14" s="108"/>
      <c r="Y14" s="108"/>
      <c r="Z14" s="108"/>
      <c r="AA14" s="108"/>
      <c r="AB14" s="108"/>
      <c r="AC14" s="108"/>
      <c r="AD14" s="868"/>
      <c r="AE14" s="868"/>
      <c r="AF14" s="868"/>
      <c r="AG14" s="868"/>
      <c r="AH14" s="868"/>
      <c r="AI14" s="868"/>
      <c r="AJ14" s="868"/>
      <c r="AK14" s="868"/>
      <c r="AL14" s="868"/>
      <c r="AM14" s="868"/>
      <c r="AN14" s="868"/>
      <c r="AO14" s="868"/>
      <c r="AP14" s="868"/>
    </row>
    <row r="15" spans="1:42" outlineLevel="1">
      <c r="A15" s="868"/>
      <c r="B15" s="1181"/>
      <c r="C15" s="1181"/>
      <c r="D15" s="868"/>
      <c r="E15" s="868"/>
      <c r="F15" s="868" t="s">
        <v>822</v>
      </c>
      <c r="G15" s="868"/>
      <c r="H15" s="868"/>
      <c r="I15" s="868"/>
      <c r="J15" s="868"/>
      <c r="K15" s="868"/>
      <c r="L15" s="868"/>
      <c r="M15" s="868"/>
      <c r="N15" s="868"/>
      <c r="O15" s="868"/>
      <c r="P15" s="868"/>
      <c r="Q15" s="868"/>
      <c r="R15" s="868"/>
      <c r="S15" s="868"/>
      <c r="T15" s="108">
        <v>0</v>
      </c>
      <c r="U15" s="108">
        <v>0</v>
      </c>
      <c r="V15" s="108">
        <v>0</v>
      </c>
      <c r="W15" s="108"/>
      <c r="X15" s="108"/>
      <c r="Y15" s="108"/>
      <c r="Z15" s="108"/>
      <c r="AA15" s="108"/>
      <c r="AB15" s="108"/>
      <c r="AC15" s="108"/>
      <c r="AD15" s="868"/>
      <c r="AE15" s="868"/>
      <c r="AF15" s="868"/>
      <c r="AG15" s="868"/>
      <c r="AH15" s="868"/>
      <c r="AI15" s="868"/>
      <c r="AJ15" s="868"/>
      <c r="AK15" s="868"/>
      <c r="AL15" s="868"/>
      <c r="AM15" s="868"/>
      <c r="AN15" s="868"/>
      <c r="AO15" s="868"/>
      <c r="AP15" s="868"/>
    </row>
    <row r="16" spans="1:42" outlineLevel="1">
      <c r="A16" s="868"/>
      <c r="B16" s="1181"/>
      <c r="C16" s="1181"/>
      <c r="D16" s="868"/>
      <c r="E16" s="868"/>
      <c r="F16" s="868" t="s">
        <v>823</v>
      </c>
      <c r="G16" s="868"/>
      <c r="H16" s="868"/>
      <c r="I16" s="868"/>
      <c r="J16" s="868"/>
      <c r="K16" s="868"/>
      <c r="L16" s="868"/>
      <c r="M16" s="868"/>
      <c r="N16" s="868"/>
      <c r="O16" s="868"/>
      <c r="P16" s="868"/>
      <c r="Q16" s="868"/>
      <c r="R16" s="868"/>
      <c r="S16" s="868"/>
      <c r="T16" s="108">
        <v>-31</v>
      </c>
      <c r="U16" s="108">
        <v>-138</v>
      </c>
      <c r="V16" s="108">
        <v>-32</v>
      </c>
      <c r="W16" s="108"/>
      <c r="X16" s="108"/>
      <c r="Y16" s="108"/>
      <c r="Z16" s="108"/>
      <c r="AA16" s="108"/>
      <c r="AB16" s="108"/>
      <c r="AC16" s="108"/>
      <c r="AD16" s="868"/>
      <c r="AE16" s="868"/>
      <c r="AF16" s="868"/>
      <c r="AG16" s="868"/>
      <c r="AH16" s="868"/>
      <c r="AI16" s="868"/>
      <c r="AJ16" s="868"/>
      <c r="AK16" s="868"/>
      <c r="AL16" s="868"/>
      <c r="AM16" s="868"/>
      <c r="AN16" s="868"/>
      <c r="AO16" s="868"/>
      <c r="AP16" s="868"/>
    </row>
    <row r="17" spans="1:42" outlineLevel="1">
      <c r="A17" s="868"/>
      <c r="B17" s="1181"/>
      <c r="C17" s="1181"/>
      <c r="D17" s="868"/>
      <c r="E17" s="868"/>
      <c r="F17" s="868" t="s">
        <v>824</v>
      </c>
      <c r="G17" s="868"/>
      <c r="H17" s="868"/>
      <c r="I17" s="868"/>
      <c r="J17" s="868"/>
      <c r="K17" s="868"/>
      <c r="L17" s="868"/>
      <c r="M17" s="868"/>
      <c r="N17" s="868"/>
      <c r="O17" s="868"/>
      <c r="P17" s="868"/>
      <c r="Q17" s="868"/>
      <c r="R17" s="868"/>
      <c r="S17" s="868"/>
      <c r="T17" s="108">
        <v>0</v>
      </c>
      <c r="U17" s="108">
        <v>0</v>
      </c>
      <c r="V17" s="108">
        <v>0</v>
      </c>
      <c r="W17" s="108"/>
      <c r="X17" s="108"/>
      <c r="Y17" s="108"/>
      <c r="Z17" s="108"/>
      <c r="AA17" s="108"/>
      <c r="AB17" s="108"/>
      <c r="AC17" s="108"/>
      <c r="AD17" s="868"/>
      <c r="AE17" s="868"/>
      <c r="AF17" s="868"/>
      <c r="AG17" s="868"/>
      <c r="AH17" s="868"/>
      <c r="AI17" s="868"/>
      <c r="AJ17" s="868"/>
      <c r="AK17" s="868"/>
      <c r="AL17" s="868"/>
      <c r="AM17" s="868"/>
      <c r="AN17" s="868"/>
      <c r="AO17" s="868"/>
      <c r="AP17" s="868"/>
    </row>
    <row r="18" spans="1:42" outlineLevel="1">
      <c r="A18" s="868"/>
      <c r="B18" s="1181"/>
      <c r="C18" s="1181"/>
      <c r="D18" s="868"/>
      <c r="E18" s="868"/>
      <c r="F18" s="868" t="s">
        <v>825</v>
      </c>
      <c r="G18" s="868"/>
      <c r="H18" s="868"/>
      <c r="I18" s="868"/>
      <c r="J18" s="868"/>
      <c r="K18" s="868"/>
      <c r="L18" s="868"/>
      <c r="M18" s="868"/>
      <c r="N18" s="868"/>
      <c r="O18" s="868"/>
      <c r="P18" s="868"/>
      <c r="Q18" s="868"/>
      <c r="R18" s="868"/>
      <c r="S18" s="868"/>
      <c r="T18" s="108">
        <v>0</v>
      </c>
      <c r="U18" s="108">
        <v>0</v>
      </c>
      <c r="V18" s="108">
        <v>0</v>
      </c>
      <c r="W18" s="108"/>
      <c r="X18" s="108"/>
      <c r="Y18" s="108"/>
      <c r="Z18" s="108"/>
      <c r="AA18" s="108"/>
      <c r="AB18" s="108"/>
      <c r="AC18" s="108"/>
      <c r="AD18" s="868"/>
      <c r="AE18" s="868"/>
      <c r="AF18" s="868"/>
      <c r="AG18" s="868"/>
      <c r="AH18" s="868"/>
      <c r="AI18" s="868"/>
      <c r="AJ18" s="868"/>
      <c r="AK18" s="868"/>
      <c r="AL18" s="868"/>
      <c r="AM18" s="868"/>
      <c r="AN18" s="868"/>
      <c r="AO18" s="868"/>
      <c r="AP18" s="868"/>
    </row>
    <row r="19" spans="1:42" outlineLevel="1">
      <c r="A19" s="868"/>
      <c r="B19" s="1181"/>
      <c r="C19" s="1181"/>
      <c r="D19" s="868"/>
      <c r="E19" s="868"/>
      <c r="F19" s="868" t="s">
        <v>826</v>
      </c>
      <c r="G19" s="868"/>
      <c r="H19" s="868"/>
      <c r="I19" s="868"/>
      <c r="J19" s="868"/>
      <c r="K19" s="868"/>
      <c r="L19" s="868"/>
      <c r="M19" s="868"/>
      <c r="N19" s="868"/>
      <c r="O19" s="868"/>
      <c r="P19" s="868"/>
      <c r="Q19" s="868"/>
      <c r="R19" s="868"/>
      <c r="S19" s="868"/>
      <c r="T19" s="108"/>
      <c r="U19" s="108"/>
      <c r="V19" s="108"/>
      <c r="W19" s="108"/>
      <c r="X19" s="108"/>
      <c r="Y19" s="108"/>
      <c r="Z19" s="108"/>
      <c r="AA19" s="108"/>
      <c r="AB19" s="108"/>
      <c r="AC19" s="108"/>
      <c r="AD19" s="868"/>
      <c r="AE19" s="868"/>
      <c r="AF19" s="868"/>
      <c r="AG19" s="868"/>
      <c r="AH19" s="868"/>
      <c r="AI19" s="868"/>
      <c r="AJ19" s="868"/>
      <c r="AK19" s="868"/>
      <c r="AL19" s="868"/>
      <c r="AM19" s="868"/>
      <c r="AN19" s="868"/>
      <c r="AO19" s="868"/>
      <c r="AP19" s="868"/>
    </row>
    <row r="20" spans="1:42" ht="12.75" customHeight="1" outlineLevel="1">
      <c r="A20" s="868"/>
      <c r="B20" s="1181"/>
      <c r="C20" s="1181"/>
      <c r="D20" s="868"/>
      <c r="E20" s="868"/>
      <c r="F20" s="1209" t="s">
        <v>827</v>
      </c>
      <c r="G20" s="1210"/>
      <c r="H20" s="1211"/>
      <c r="I20" s="1211"/>
      <c r="J20" s="1212"/>
      <c r="K20" s="1194"/>
      <c r="L20" s="1194"/>
      <c r="M20" s="1194"/>
      <c r="N20" s="1194"/>
      <c r="O20" s="1194"/>
      <c r="P20" s="868"/>
      <c r="Q20" s="1194"/>
      <c r="R20" s="1194"/>
      <c r="S20" s="1194"/>
      <c r="T20" s="108"/>
      <c r="U20" s="108"/>
      <c r="V20" s="108"/>
      <c r="W20" s="108"/>
      <c r="X20" s="108"/>
      <c r="Y20" s="108"/>
      <c r="Z20" s="108"/>
      <c r="AA20" s="108"/>
      <c r="AB20" s="108"/>
      <c r="AC20" s="108"/>
      <c r="AD20" s="868"/>
      <c r="AE20" s="868"/>
      <c r="AF20" s="868"/>
      <c r="AG20" s="868"/>
      <c r="AH20" s="868"/>
      <c r="AI20" s="868"/>
      <c r="AJ20" s="868"/>
      <c r="AK20" s="868"/>
      <c r="AL20" s="868"/>
      <c r="AM20" s="868"/>
      <c r="AN20" s="868"/>
      <c r="AO20" s="868"/>
      <c r="AP20" s="868"/>
    </row>
    <row r="21" spans="1:42" ht="12.75" customHeight="1" outlineLevel="1">
      <c r="A21" s="868"/>
      <c r="B21" s="1181"/>
      <c r="C21" s="1181"/>
      <c r="D21" s="868"/>
      <c r="E21" s="868"/>
      <c r="F21" s="1209" t="s">
        <v>828</v>
      </c>
      <c r="G21" s="1210"/>
      <c r="H21" s="1211"/>
      <c r="I21" s="1211"/>
      <c r="J21" s="1212"/>
      <c r="K21" s="1194"/>
      <c r="L21" s="1194"/>
      <c r="M21" s="1194"/>
      <c r="N21" s="1194"/>
      <c r="O21" s="1194"/>
      <c r="P21" s="868"/>
      <c r="Q21" s="1194"/>
      <c r="R21" s="1194"/>
      <c r="S21" s="1194"/>
      <c r="T21" s="284"/>
      <c r="U21" s="285"/>
      <c r="V21" s="285"/>
      <c r="W21" s="285"/>
      <c r="X21" s="285"/>
      <c r="Y21" s="285"/>
      <c r="Z21" s="285"/>
      <c r="AA21" s="108"/>
      <c r="AB21" s="108"/>
      <c r="AC21" s="285"/>
      <c r="AD21" s="868"/>
      <c r="AE21" s="868"/>
      <c r="AF21" s="868"/>
      <c r="AG21" s="868"/>
      <c r="AH21" s="868"/>
      <c r="AI21" s="868"/>
      <c r="AJ21" s="868"/>
      <c r="AK21" s="868"/>
      <c r="AL21" s="868"/>
      <c r="AM21" s="868"/>
      <c r="AN21" s="868"/>
      <c r="AO21" s="868"/>
      <c r="AP21" s="868"/>
    </row>
    <row r="22" spans="1:42" ht="12.75" customHeight="1" outlineLevel="1">
      <c r="A22" s="868"/>
      <c r="B22" s="1181"/>
      <c r="C22" s="1181"/>
      <c r="D22" s="868"/>
      <c r="E22" s="868"/>
      <c r="F22" s="1209" t="s">
        <v>829</v>
      </c>
      <c r="G22" s="1210"/>
      <c r="H22" s="1211"/>
      <c r="I22" s="1211"/>
      <c r="J22" s="1212"/>
      <c r="K22" s="1194"/>
      <c r="L22" s="1194"/>
      <c r="M22" s="1194"/>
      <c r="N22" s="1194"/>
      <c r="O22" s="1194"/>
      <c r="P22" s="868"/>
      <c r="Q22" s="1194"/>
      <c r="R22" s="1194"/>
      <c r="S22" s="1194"/>
      <c r="T22" s="284"/>
      <c r="U22" s="285"/>
      <c r="V22" s="285"/>
      <c r="W22" s="285"/>
      <c r="X22" s="285"/>
      <c r="Y22" s="285"/>
      <c r="Z22" s="285"/>
      <c r="AA22" s="108"/>
      <c r="AB22" s="108"/>
      <c r="AC22" s="285"/>
      <c r="AD22" s="868"/>
      <c r="AE22" s="868"/>
      <c r="AF22" s="868"/>
      <c r="AG22" s="868"/>
      <c r="AH22" s="868"/>
      <c r="AI22" s="868"/>
      <c r="AJ22" s="868"/>
      <c r="AK22" s="868"/>
      <c r="AL22" s="868"/>
      <c r="AM22" s="868"/>
      <c r="AN22" s="868"/>
      <c r="AO22" s="868"/>
      <c r="AP22" s="868"/>
    </row>
    <row r="23" spans="1:42" ht="12.75" customHeight="1" outlineLevel="1">
      <c r="A23" s="868"/>
      <c r="B23" s="1181"/>
      <c r="C23" s="1181"/>
      <c r="D23" s="868"/>
      <c r="E23" s="868"/>
      <c r="F23" s="1209" t="s">
        <v>830</v>
      </c>
      <c r="G23" s="1210"/>
      <c r="H23" s="1211"/>
      <c r="I23" s="1211"/>
      <c r="J23" s="1212"/>
      <c r="K23" s="1194"/>
      <c r="L23" s="1194"/>
      <c r="M23" s="1194"/>
      <c r="N23" s="1194"/>
      <c r="O23" s="1194"/>
      <c r="P23" s="868"/>
      <c r="Q23" s="1194"/>
      <c r="R23" s="1194"/>
      <c r="S23" s="1194"/>
      <c r="T23" s="284"/>
      <c r="U23" s="285"/>
      <c r="V23" s="285"/>
      <c r="W23" s="285"/>
      <c r="X23" s="285"/>
      <c r="Y23" s="285"/>
      <c r="Z23" s="285"/>
      <c r="AA23" s="108"/>
      <c r="AB23" s="108"/>
      <c r="AC23" s="285"/>
      <c r="AD23" s="868"/>
      <c r="AE23" s="868"/>
      <c r="AF23" s="868"/>
      <c r="AG23" s="868"/>
      <c r="AH23" s="868"/>
      <c r="AI23" s="868"/>
      <c r="AJ23" s="868"/>
      <c r="AK23" s="868"/>
      <c r="AL23" s="868"/>
      <c r="AM23" s="868"/>
      <c r="AN23" s="868"/>
      <c r="AO23" s="868"/>
      <c r="AP23" s="868"/>
    </row>
    <row r="24" spans="1:42" ht="12.75" customHeight="1" outlineLevel="1">
      <c r="A24" s="868"/>
      <c r="B24" s="1181"/>
      <c r="C24" s="1181"/>
      <c r="D24" s="868"/>
      <c r="E24" s="868"/>
      <c r="F24" s="1209" t="s">
        <v>831</v>
      </c>
      <c r="G24" s="1210"/>
      <c r="H24" s="1211"/>
      <c r="I24" s="1211"/>
      <c r="J24" s="1212"/>
      <c r="K24" s="1194"/>
      <c r="L24" s="1194"/>
      <c r="M24" s="1194"/>
      <c r="N24" s="1194"/>
      <c r="O24" s="1194"/>
      <c r="P24" s="868"/>
      <c r="Q24" s="1194"/>
      <c r="R24" s="1194"/>
      <c r="S24" s="1194"/>
      <c r="T24" s="284"/>
      <c r="U24" s="285"/>
      <c r="V24" s="285"/>
      <c r="W24" s="285"/>
      <c r="X24" s="285"/>
      <c r="Y24" s="285"/>
      <c r="Z24" s="285"/>
      <c r="AA24" s="108"/>
      <c r="AB24" s="108"/>
      <c r="AC24" s="285"/>
      <c r="AD24" s="868"/>
      <c r="AE24" s="868"/>
      <c r="AF24" s="868"/>
      <c r="AG24" s="868"/>
      <c r="AH24" s="868"/>
      <c r="AI24" s="868"/>
      <c r="AJ24" s="868"/>
      <c r="AK24" s="868"/>
      <c r="AL24" s="868"/>
      <c r="AM24" s="868"/>
      <c r="AN24" s="868"/>
      <c r="AO24" s="868"/>
      <c r="AP24" s="868"/>
    </row>
    <row r="25" spans="1:42" ht="12.75" customHeight="1" outlineLevel="1">
      <c r="A25" s="868"/>
      <c r="B25" s="1181"/>
      <c r="C25" s="1181"/>
      <c r="D25" s="868"/>
      <c r="E25" s="868"/>
      <c r="F25" s="1209" t="s">
        <v>800</v>
      </c>
      <c r="G25" s="1210"/>
      <c r="H25" s="1211"/>
      <c r="I25" s="1211"/>
      <c r="J25" s="1212"/>
      <c r="K25" s="1194"/>
      <c r="L25" s="1194"/>
      <c r="M25" s="1194"/>
      <c r="N25" s="1194"/>
      <c r="O25" s="1194"/>
      <c r="P25" s="868"/>
      <c r="Q25" s="1194"/>
      <c r="R25" s="1194"/>
      <c r="S25" s="1194"/>
      <c r="T25" s="284"/>
      <c r="U25" s="285"/>
      <c r="V25" s="285"/>
      <c r="W25" s="285"/>
      <c r="X25" s="285"/>
      <c r="Y25" s="285"/>
      <c r="Z25" s="285"/>
      <c r="AA25" s="108"/>
      <c r="AB25" s="108"/>
      <c r="AC25" s="285"/>
      <c r="AD25" s="868"/>
      <c r="AE25" s="868"/>
      <c r="AF25" s="868"/>
      <c r="AG25" s="868"/>
      <c r="AH25" s="868"/>
      <c r="AI25" s="868"/>
      <c r="AJ25" s="868"/>
      <c r="AK25" s="868"/>
      <c r="AL25" s="868"/>
      <c r="AM25" s="868"/>
      <c r="AN25" s="868"/>
      <c r="AO25" s="868"/>
      <c r="AP25" s="868"/>
    </row>
    <row r="26" spans="1:42" ht="12.75" customHeight="1" outlineLevel="1">
      <c r="A26" s="868"/>
      <c r="B26" s="1181"/>
      <c r="C26" s="1181"/>
      <c r="D26" s="868"/>
      <c r="E26" s="868"/>
      <c r="F26" s="1209" t="s">
        <v>801</v>
      </c>
      <c r="G26" s="1210"/>
      <c r="H26" s="1211"/>
      <c r="I26" s="1211"/>
      <c r="J26" s="1212"/>
      <c r="K26" s="1194"/>
      <c r="L26" s="1194"/>
      <c r="M26" s="1194"/>
      <c r="N26" s="1194"/>
      <c r="O26" s="1194"/>
      <c r="P26" s="868"/>
      <c r="Q26" s="1194"/>
      <c r="R26" s="1194"/>
      <c r="S26" s="1194"/>
      <c r="T26" s="284"/>
      <c r="U26" s="285"/>
      <c r="V26" s="285"/>
      <c r="W26" s="285"/>
      <c r="X26" s="285"/>
      <c r="Y26" s="285"/>
      <c r="Z26" s="285"/>
      <c r="AA26" s="108"/>
      <c r="AB26" s="108"/>
      <c r="AC26" s="285"/>
      <c r="AD26" s="868"/>
      <c r="AE26" s="868"/>
      <c r="AF26" s="868"/>
      <c r="AG26" s="868"/>
      <c r="AH26" s="868"/>
      <c r="AI26" s="868"/>
      <c r="AJ26" s="868"/>
      <c r="AK26" s="868"/>
      <c r="AL26" s="868"/>
      <c r="AM26" s="868"/>
      <c r="AN26" s="868"/>
      <c r="AO26" s="868"/>
      <c r="AP26" s="868"/>
    </row>
    <row r="27" spans="1:42" ht="12.75" customHeight="1" outlineLevel="1">
      <c r="A27" s="868"/>
      <c r="B27" s="1181"/>
      <c r="C27" s="1181"/>
      <c r="D27" s="868"/>
      <c r="E27" s="868"/>
      <c r="F27" s="1209" t="s">
        <v>802</v>
      </c>
      <c r="G27" s="1210"/>
      <c r="H27" s="1211"/>
      <c r="I27" s="1211"/>
      <c r="J27" s="1212"/>
      <c r="K27" s="1194"/>
      <c r="L27" s="1194"/>
      <c r="M27" s="1194"/>
      <c r="N27" s="1194"/>
      <c r="O27" s="1194"/>
      <c r="P27" s="868"/>
      <c r="Q27" s="1194"/>
      <c r="R27" s="1194"/>
      <c r="S27" s="1194"/>
      <c r="T27" s="284"/>
      <c r="U27" s="285"/>
      <c r="V27" s="285"/>
      <c r="W27" s="285"/>
      <c r="X27" s="285"/>
      <c r="Y27" s="285"/>
      <c r="Z27" s="285"/>
      <c r="AA27" s="108"/>
      <c r="AB27" s="108"/>
      <c r="AC27" s="285"/>
      <c r="AD27" s="868"/>
      <c r="AE27" s="868"/>
      <c r="AF27" s="868"/>
      <c r="AG27" s="868"/>
      <c r="AH27" s="868"/>
      <c r="AI27" s="868"/>
      <c r="AJ27" s="868"/>
      <c r="AK27" s="868"/>
      <c r="AL27" s="868"/>
      <c r="AM27" s="868"/>
      <c r="AN27" s="868"/>
      <c r="AO27" s="868"/>
      <c r="AP27" s="868"/>
    </row>
    <row r="28" spans="1:42" ht="12.75" customHeight="1" outlineLevel="1">
      <c r="A28" s="868"/>
      <c r="B28" s="1181"/>
      <c r="C28" s="1181"/>
      <c r="D28" s="868"/>
      <c r="E28" s="868"/>
      <c r="F28" s="1209" t="s">
        <v>803</v>
      </c>
      <c r="G28" s="1210"/>
      <c r="H28" s="1211"/>
      <c r="I28" s="1211"/>
      <c r="J28" s="1212"/>
      <c r="K28" s="1194"/>
      <c r="L28" s="1194"/>
      <c r="M28" s="1194"/>
      <c r="N28" s="1194"/>
      <c r="O28" s="1194"/>
      <c r="P28" s="868"/>
      <c r="Q28" s="1194"/>
      <c r="R28" s="1194"/>
      <c r="S28" s="1194"/>
      <c r="T28" s="284"/>
      <c r="U28" s="285"/>
      <c r="V28" s="285"/>
      <c r="W28" s="285"/>
      <c r="X28" s="285"/>
      <c r="Y28" s="285"/>
      <c r="Z28" s="285"/>
      <c r="AA28" s="108"/>
      <c r="AB28" s="108"/>
      <c r="AC28" s="285"/>
      <c r="AD28" s="868"/>
      <c r="AE28" s="868"/>
      <c r="AF28" s="868"/>
      <c r="AG28" s="868"/>
      <c r="AH28" s="868"/>
      <c r="AI28" s="868"/>
      <c r="AJ28" s="868"/>
      <c r="AK28" s="868"/>
      <c r="AL28" s="868"/>
      <c r="AM28" s="868"/>
      <c r="AN28" s="868"/>
      <c r="AO28" s="868"/>
      <c r="AP28" s="868"/>
    </row>
    <row r="29" spans="1:42" ht="12.75" customHeight="1" outlineLevel="1">
      <c r="A29" s="868"/>
      <c r="B29" s="1181"/>
      <c r="C29" s="1181"/>
      <c r="D29" s="868"/>
      <c r="E29" s="868"/>
      <c r="F29" s="1209" t="s">
        <v>804</v>
      </c>
      <c r="G29" s="1210"/>
      <c r="H29" s="1211"/>
      <c r="I29" s="1211"/>
      <c r="J29" s="1212"/>
      <c r="K29" s="1194"/>
      <c r="L29" s="1194"/>
      <c r="M29" s="1194"/>
      <c r="N29" s="1194"/>
      <c r="O29" s="1194"/>
      <c r="P29" s="868"/>
      <c r="Q29" s="1194"/>
      <c r="R29" s="1194"/>
      <c r="S29" s="1194"/>
      <c r="T29" s="284"/>
      <c r="U29" s="285"/>
      <c r="V29" s="285"/>
      <c r="W29" s="285"/>
      <c r="X29" s="285"/>
      <c r="Y29" s="285"/>
      <c r="Z29" s="285"/>
      <c r="AA29" s="108"/>
      <c r="AB29" s="108"/>
      <c r="AC29" s="285"/>
      <c r="AD29" s="868"/>
      <c r="AE29" s="868"/>
      <c r="AF29" s="868"/>
      <c r="AG29" s="868"/>
      <c r="AH29" s="868"/>
      <c r="AI29" s="868"/>
      <c r="AJ29" s="868"/>
      <c r="AK29" s="868"/>
      <c r="AL29" s="868"/>
      <c r="AM29" s="868"/>
      <c r="AN29" s="868"/>
      <c r="AO29" s="868"/>
      <c r="AP29" s="868"/>
    </row>
    <row r="30" spans="1:42">
      <c r="A30" s="1195"/>
      <c r="B30" s="1181"/>
      <c r="C30" s="1181"/>
      <c r="D30" s="868"/>
      <c r="E30" s="868"/>
      <c r="F30" s="868"/>
      <c r="G30" s="868"/>
      <c r="H30" s="868"/>
      <c r="I30" s="868"/>
      <c r="J30" s="868"/>
      <c r="K30" s="868"/>
      <c r="L30" s="868"/>
      <c r="M30" s="868"/>
      <c r="N30" s="868"/>
      <c r="O30" s="868"/>
      <c r="P30" s="868"/>
      <c r="Q30" s="868"/>
      <c r="R30" s="868"/>
      <c r="S30" s="1196" t="s">
        <v>832</v>
      </c>
      <c r="T30" s="748">
        <v>-31</v>
      </c>
      <c r="U30" s="748">
        <v>-139</v>
      </c>
      <c r="V30" s="748">
        <v>-44</v>
      </c>
      <c r="W30" s="748">
        <v>0</v>
      </c>
      <c r="X30" s="748">
        <v>0</v>
      </c>
      <c r="Y30" s="748">
        <v>0</v>
      </c>
      <c r="Z30" s="748">
        <v>0</v>
      </c>
      <c r="AA30" s="748">
        <v>0</v>
      </c>
      <c r="AB30" s="748">
        <v>0</v>
      </c>
      <c r="AC30" s="748">
        <v>0</v>
      </c>
      <c r="AD30" s="868"/>
      <c r="AE30" s="868"/>
      <c r="AF30" s="868"/>
      <c r="AG30" s="868"/>
      <c r="AH30" s="868"/>
      <c r="AI30" s="868"/>
      <c r="AJ30" s="868"/>
      <c r="AK30" s="868"/>
      <c r="AL30" s="868"/>
      <c r="AM30" s="868"/>
      <c r="AN30" s="868"/>
      <c r="AO30" s="868"/>
      <c r="AP30" s="868"/>
    </row>
    <row r="31" spans="1:42">
      <c r="A31" s="868"/>
      <c r="B31" s="1188"/>
      <c r="C31" s="1188"/>
      <c r="D31" s="1176"/>
      <c r="E31" s="1176"/>
      <c r="F31" s="1176"/>
      <c r="G31" s="1176"/>
      <c r="H31" s="1176"/>
      <c r="I31" s="1176"/>
      <c r="J31" s="868"/>
      <c r="K31" s="868"/>
      <c r="L31" s="1176" t="s">
        <v>701</v>
      </c>
      <c r="M31" s="868"/>
      <c r="N31" s="868"/>
      <c r="O31" s="1176" t="s">
        <v>833</v>
      </c>
      <c r="P31" s="868"/>
      <c r="Q31" s="868"/>
      <c r="R31" s="868"/>
      <c r="S31" s="868"/>
      <c r="T31" s="868"/>
      <c r="U31" s="868"/>
      <c r="V31" s="868"/>
      <c r="W31" s="868"/>
      <c r="X31" s="868"/>
      <c r="Y31" s="868"/>
      <c r="Z31" s="868"/>
      <c r="AA31" s="868"/>
      <c r="AB31" s="878"/>
      <c r="AC31" s="868"/>
      <c r="AD31" s="868"/>
      <c r="AE31" s="868"/>
      <c r="AF31" s="868"/>
      <c r="AG31" s="868"/>
      <c r="AH31" s="868"/>
      <c r="AI31" s="868"/>
      <c r="AJ31" s="868"/>
      <c r="AK31" s="868"/>
      <c r="AL31" s="868"/>
      <c r="AM31" s="868"/>
      <c r="AN31" s="868"/>
      <c r="AO31" s="868"/>
      <c r="AP31" s="868"/>
    </row>
    <row r="32" spans="1:42" outlineLevel="1">
      <c r="A32" s="1195"/>
      <c r="B32" s="1188" t="s">
        <v>834</v>
      </c>
      <c r="C32" s="1188"/>
      <c r="D32" s="1176" t="s">
        <v>835</v>
      </c>
      <c r="E32" s="868"/>
      <c r="F32" s="1176"/>
      <c r="G32" s="1176"/>
      <c r="H32" s="1176"/>
      <c r="I32" s="1176"/>
      <c r="J32" s="868"/>
      <c r="K32" s="868"/>
      <c r="L32" s="1197" t="str">
        <f>Data!D276</f>
        <v>Bond</v>
      </c>
      <c r="M32" s="1197"/>
      <c r="N32" s="1197"/>
      <c r="O32" s="1196" t="s">
        <v>836</v>
      </c>
      <c r="P32" s="868"/>
      <c r="Q32" s="868"/>
      <c r="R32" s="868"/>
      <c r="S32" s="1196" t="s">
        <v>837</v>
      </c>
      <c r="T32" s="748">
        <v>2415.4184247538678</v>
      </c>
      <c r="U32" s="749">
        <v>2480.5555555555557</v>
      </c>
      <c r="V32" s="749">
        <v>2731.9971870604782</v>
      </c>
      <c r="W32" s="749">
        <v>2400.1449899008676</v>
      </c>
      <c r="X32" s="749">
        <v>1924.7835352063503</v>
      </c>
      <c r="Y32" s="749">
        <v>1929.3672550189415</v>
      </c>
      <c r="Z32" s="749">
        <v>1934.74827266951</v>
      </c>
      <c r="AA32" s="750">
        <v>1565.2907208495956</v>
      </c>
      <c r="AB32" s="851">
        <v>1570.9994424750835</v>
      </c>
      <c r="AC32" s="749">
        <v>1576.8794257493362</v>
      </c>
      <c r="AD32" s="868"/>
      <c r="AE32" s="868"/>
      <c r="AF32" s="868"/>
      <c r="AG32" s="868"/>
      <c r="AH32" s="868"/>
      <c r="AI32" s="868"/>
      <c r="AJ32" s="868"/>
      <c r="AK32" s="868"/>
      <c r="AL32" s="868"/>
      <c r="AM32" s="868"/>
      <c r="AN32" s="868"/>
      <c r="AO32" s="868"/>
      <c r="AP32" s="868"/>
    </row>
    <row r="33" spans="1:42">
      <c r="A33" s="868"/>
      <c r="B33" s="1188" t="s">
        <v>838</v>
      </c>
      <c r="C33" s="1181"/>
      <c r="D33" s="1176" t="s">
        <v>839</v>
      </c>
      <c r="E33" s="868"/>
      <c r="F33" s="1176"/>
      <c r="G33" s="1176"/>
      <c r="H33" s="1176"/>
      <c r="I33" s="1176"/>
      <c r="J33" s="868"/>
      <c r="K33" s="868"/>
      <c r="L33" s="1197" t="str">
        <f>Data!D277</f>
        <v>External Loan</v>
      </c>
      <c r="M33" s="1197"/>
      <c r="N33" s="1197"/>
      <c r="O33" s="1196" t="s">
        <v>836</v>
      </c>
      <c r="P33" s="868"/>
      <c r="Q33" s="868"/>
      <c r="R33" s="868"/>
      <c r="S33" s="1196" t="s">
        <v>840</v>
      </c>
      <c r="T33" s="748">
        <v>321.98855507868382</v>
      </c>
      <c r="U33" s="749">
        <v>324.69241773962801</v>
      </c>
      <c r="V33" s="749">
        <v>26.938483547925607</v>
      </c>
      <c r="W33" s="749">
        <v>27.797524989121321</v>
      </c>
      <c r="X33" s="749">
        <v>28.387054654386699</v>
      </c>
      <c r="Y33" s="749">
        <v>29.11962653721438</v>
      </c>
      <c r="Z33" s="749">
        <v>29.993215333330838</v>
      </c>
      <c r="AA33" s="750">
        <v>0</v>
      </c>
      <c r="AB33" s="851">
        <v>0</v>
      </c>
      <c r="AC33" s="749">
        <v>0</v>
      </c>
      <c r="AD33" s="868"/>
      <c r="AE33" s="868"/>
      <c r="AF33" s="868"/>
      <c r="AG33" s="868"/>
      <c r="AH33" s="868"/>
      <c r="AI33" s="868"/>
      <c r="AJ33" s="868"/>
      <c r="AK33" s="868"/>
      <c r="AL33" s="868"/>
      <c r="AM33" s="868"/>
      <c r="AN33" s="868"/>
      <c r="AO33" s="868"/>
      <c r="AP33" s="868"/>
    </row>
    <row r="34" spans="1:42">
      <c r="A34" s="868"/>
      <c r="B34" s="1188" t="s">
        <v>841</v>
      </c>
      <c r="C34" s="1181"/>
      <c r="D34" s="1176" t="s">
        <v>842</v>
      </c>
      <c r="E34" s="868"/>
      <c r="F34" s="1176"/>
      <c r="G34" s="1181"/>
      <c r="H34" s="1181"/>
      <c r="I34" s="868"/>
      <c r="J34" s="868"/>
      <c r="K34" s="868"/>
      <c r="L34" s="1197" t="str">
        <f>Data!D278</f>
        <v>Private Placement</v>
      </c>
      <c r="M34" s="1197"/>
      <c r="N34" s="1197"/>
      <c r="O34" s="1196" t="s">
        <v>836</v>
      </c>
      <c r="P34" s="868"/>
      <c r="Q34" s="868"/>
      <c r="R34" s="868"/>
      <c r="S34" s="1196" t="s">
        <v>843</v>
      </c>
      <c r="T34" s="748">
        <v>250</v>
      </c>
      <c r="U34" s="749">
        <v>365.6</v>
      </c>
      <c r="V34" s="749">
        <v>365.6</v>
      </c>
      <c r="W34" s="749">
        <v>693.00000000000011</v>
      </c>
      <c r="X34" s="749">
        <v>693.00000000000011</v>
      </c>
      <c r="Y34" s="749">
        <v>693.00000000000011</v>
      </c>
      <c r="Z34" s="749">
        <v>693.00000000000011</v>
      </c>
      <c r="AA34" s="750">
        <v>693.00000000000011</v>
      </c>
      <c r="AB34" s="851">
        <v>693.00000000000011</v>
      </c>
      <c r="AC34" s="749">
        <v>618.00000000000011</v>
      </c>
      <c r="AD34" s="868"/>
      <c r="AE34" s="868"/>
      <c r="AF34" s="868"/>
      <c r="AG34" s="868"/>
      <c r="AH34" s="868"/>
      <c r="AI34" s="868"/>
      <c r="AJ34" s="868"/>
      <c r="AK34" s="868"/>
      <c r="AL34" s="868"/>
      <c r="AM34" s="868"/>
      <c r="AN34" s="868"/>
      <c r="AO34" s="868"/>
      <c r="AP34" s="868"/>
    </row>
    <row r="35" spans="1:42">
      <c r="A35" s="868"/>
      <c r="B35" s="1188" t="s">
        <v>844</v>
      </c>
      <c r="C35" s="1188"/>
      <c r="D35" s="1176" t="s">
        <v>845</v>
      </c>
      <c r="E35" s="1176"/>
      <c r="F35" s="1176"/>
      <c r="G35" s="1176"/>
      <c r="H35" s="1176"/>
      <c r="I35" s="1176"/>
      <c r="J35" s="1176"/>
      <c r="K35" s="1176"/>
      <c r="L35" s="1197" t="str">
        <f>Data!D279</f>
        <v>Group company loan (licensee lender)</v>
      </c>
      <c r="M35" s="1197"/>
      <c r="N35" s="1197"/>
      <c r="O35" s="1196" t="s">
        <v>836</v>
      </c>
      <c r="P35" s="1176"/>
      <c r="Q35" s="868"/>
      <c r="R35" s="868"/>
      <c r="S35" s="1196" t="s">
        <v>846</v>
      </c>
      <c r="T35" s="748">
        <v>0</v>
      </c>
      <c r="U35" s="749">
        <v>0</v>
      </c>
      <c r="V35" s="749">
        <v>0</v>
      </c>
      <c r="W35" s="749">
        <v>0</v>
      </c>
      <c r="X35" s="749">
        <v>0</v>
      </c>
      <c r="Y35" s="749">
        <v>0</v>
      </c>
      <c r="Z35" s="749">
        <v>0</v>
      </c>
      <c r="AA35" s="750">
        <v>0</v>
      </c>
      <c r="AB35" s="851">
        <v>0</v>
      </c>
      <c r="AC35" s="749">
        <v>0</v>
      </c>
      <c r="AD35" s="868"/>
      <c r="AE35" s="868"/>
      <c r="AF35" s="868"/>
      <c r="AG35" s="868"/>
      <c r="AH35" s="868"/>
      <c r="AI35" s="868"/>
      <c r="AJ35" s="868"/>
      <c r="AK35" s="868"/>
      <c r="AL35" s="868"/>
      <c r="AM35" s="868"/>
      <c r="AN35" s="868"/>
      <c r="AO35" s="868"/>
      <c r="AP35" s="868"/>
    </row>
    <row r="36" spans="1:42">
      <c r="A36" s="868"/>
      <c r="B36" s="1188" t="s">
        <v>847</v>
      </c>
      <c r="C36" s="1181"/>
      <c r="D36" s="1176" t="s">
        <v>848</v>
      </c>
      <c r="E36" s="868"/>
      <c r="F36" s="1176"/>
      <c r="G36" s="1181"/>
      <c r="H36" s="1181"/>
      <c r="I36" s="868"/>
      <c r="J36" s="868"/>
      <c r="K36" s="868"/>
      <c r="L36" s="1197" t="str">
        <f>Data!D280</f>
        <v>Group company loan (licensee borrower)</v>
      </c>
      <c r="M36" s="1197"/>
      <c r="N36" s="1197"/>
      <c r="O36" s="1196" t="s">
        <v>836</v>
      </c>
      <c r="P36" s="868"/>
      <c r="Q36" s="868"/>
      <c r="R36" s="868"/>
      <c r="S36" s="1196" t="s">
        <v>849</v>
      </c>
      <c r="T36" s="748">
        <v>0</v>
      </c>
      <c r="U36" s="749">
        <v>0</v>
      </c>
      <c r="V36" s="749">
        <v>0</v>
      </c>
      <c r="W36" s="749">
        <v>0</v>
      </c>
      <c r="X36" s="749">
        <v>0</v>
      </c>
      <c r="Y36" s="749">
        <v>0</v>
      </c>
      <c r="Z36" s="749">
        <v>0</v>
      </c>
      <c r="AA36" s="750">
        <v>0</v>
      </c>
      <c r="AB36" s="851">
        <v>0</v>
      </c>
      <c r="AC36" s="749">
        <v>0</v>
      </c>
      <c r="AD36" s="868"/>
      <c r="AE36" s="868"/>
      <c r="AF36" s="868"/>
      <c r="AG36" s="868"/>
      <c r="AH36" s="868"/>
      <c r="AI36" s="868"/>
      <c r="AJ36" s="868"/>
      <c r="AK36" s="868"/>
      <c r="AL36" s="868"/>
      <c r="AM36" s="868"/>
      <c r="AN36" s="868"/>
      <c r="AO36" s="868"/>
      <c r="AP36" s="868"/>
    </row>
    <row r="37" spans="1:42" ht="14" thickBot="1">
      <c r="A37" s="868"/>
      <c r="B37" s="1188" t="s">
        <v>850</v>
      </c>
      <c r="C37" s="1181"/>
      <c r="D37" s="1176" t="s">
        <v>851</v>
      </c>
      <c r="E37" s="868"/>
      <c r="F37" s="1176"/>
      <c r="G37" s="1181"/>
      <c r="H37" s="1181"/>
      <c r="I37" s="868"/>
      <c r="J37" s="868"/>
      <c r="K37" s="868"/>
      <c r="L37" s="1197" t="str">
        <f>Data!D281</f>
        <v>Group Loan from Finco back to back with finco bond issue</v>
      </c>
      <c r="M37" s="1197"/>
      <c r="N37" s="1197"/>
      <c r="O37" s="1196" t="s">
        <v>836</v>
      </c>
      <c r="P37" s="868"/>
      <c r="Q37" s="868"/>
      <c r="R37" s="868"/>
      <c r="S37" s="1196" t="s">
        <v>852</v>
      </c>
      <c r="T37" s="852">
        <v>0</v>
      </c>
      <c r="U37" s="853">
        <v>0</v>
      </c>
      <c r="V37" s="853">
        <v>0</v>
      </c>
      <c r="W37" s="853">
        <v>0</v>
      </c>
      <c r="X37" s="853">
        <v>0</v>
      </c>
      <c r="Y37" s="853">
        <v>0</v>
      </c>
      <c r="Z37" s="853">
        <v>0</v>
      </c>
      <c r="AA37" s="854">
        <v>0</v>
      </c>
      <c r="AB37" s="855">
        <v>0</v>
      </c>
      <c r="AC37" s="853">
        <v>0</v>
      </c>
      <c r="AD37" s="868"/>
      <c r="AE37" s="868"/>
      <c r="AF37" s="868"/>
      <c r="AG37" s="868"/>
      <c r="AH37" s="868"/>
      <c r="AI37" s="868"/>
      <c r="AJ37" s="868"/>
      <c r="AK37" s="868"/>
      <c r="AL37" s="868"/>
      <c r="AM37" s="868"/>
      <c r="AN37" s="868"/>
      <c r="AO37" s="868"/>
      <c r="AP37" s="868"/>
    </row>
    <row r="38" spans="1:42">
      <c r="A38" s="868"/>
      <c r="B38" s="1188" t="s">
        <v>853</v>
      </c>
      <c r="C38" s="1188"/>
      <c r="D38" s="1176" t="s">
        <v>854</v>
      </c>
      <c r="E38" s="1176"/>
      <c r="F38" s="1176"/>
      <c r="G38" s="1176"/>
      <c r="H38" s="1176"/>
      <c r="I38" s="1176"/>
      <c r="J38" s="1176"/>
      <c r="K38" s="1176"/>
      <c r="L38" s="1197" t="str">
        <f>Data!D282</f>
        <v>Swap Pay Leg</v>
      </c>
      <c r="M38" s="1197"/>
      <c r="N38" s="1197"/>
      <c r="O38" s="1196" t="s">
        <v>855</v>
      </c>
      <c r="P38" s="1176"/>
      <c r="Q38" s="1176"/>
      <c r="R38" s="868"/>
      <c r="S38" s="1196" t="s">
        <v>856</v>
      </c>
      <c r="T38" s="856">
        <v>540</v>
      </c>
      <c r="U38" s="857">
        <v>655.60693642000001</v>
      </c>
      <c r="V38" s="857">
        <v>655.60693642000001</v>
      </c>
      <c r="W38" s="857">
        <v>655.60693642000001</v>
      </c>
      <c r="X38" s="857">
        <v>655.60693642000001</v>
      </c>
      <c r="Y38" s="857">
        <v>655.60693642000001</v>
      </c>
      <c r="Z38" s="857">
        <v>655.60693642000001</v>
      </c>
      <c r="AA38" s="858">
        <v>655.60693642000001</v>
      </c>
      <c r="AB38" s="859">
        <v>655.60693642000001</v>
      </c>
      <c r="AC38" s="857">
        <v>580.60693642000001</v>
      </c>
      <c r="AD38" s="868"/>
      <c r="AE38" s="868"/>
      <c r="AF38" s="868"/>
      <c r="AG38" s="868"/>
      <c r="AH38" s="868"/>
      <c r="AI38" s="868"/>
      <c r="AJ38" s="868"/>
      <c r="AK38" s="868"/>
      <c r="AL38" s="868"/>
      <c r="AM38" s="868"/>
      <c r="AN38" s="868"/>
      <c r="AO38" s="868"/>
      <c r="AP38" s="868"/>
    </row>
    <row r="39" spans="1:42" ht="14" thickBot="1">
      <c r="A39" s="868"/>
      <c r="B39" s="1188" t="s">
        <v>857</v>
      </c>
      <c r="C39" s="1181"/>
      <c r="D39" s="1176" t="s">
        <v>858</v>
      </c>
      <c r="E39" s="868"/>
      <c r="F39" s="1176"/>
      <c r="G39" s="1181"/>
      <c r="H39" s="1181"/>
      <c r="I39" s="1181"/>
      <c r="J39" s="868"/>
      <c r="K39" s="868"/>
      <c r="L39" s="1197" t="str">
        <f>Data!D283</f>
        <v>Swap Receive Leg</v>
      </c>
      <c r="M39" s="1197"/>
      <c r="N39" s="1197"/>
      <c r="O39" s="1196" t="s">
        <v>855</v>
      </c>
      <c r="P39" s="868"/>
      <c r="Q39" s="868"/>
      <c r="R39" s="868"/>
      <c r="S39" s="1196" t="s">
        <v>859</v>
      </c>
      <c r="T39" s="860">
        <v>-540</v>
      </c>
      <c r="U39" s="861">
        <v>-655.60693642000001</v>
      </c>
      <c r="V39" s="861">
        <v>-655.60693642000001</v>
      </c>
      <c r="W39" s="861">
        <v>-655.60693642000001</v>
      </c>
      <c r="X39" s="861">
        <v>-655.60693642000001</v>
      </c>
      <c r="Y39" s="861">
        <v>-655.60693642000001</v>
      </c>
      <c r="Z39" s="861">
        <v>-655.60693642000001</v>
      </c>
      <c r="AA39" s="862">
        <v>-655.60693642000001</v>
      </c>
      <c r="AB39" s="863">
        <v>-655.60693642000001</v>
      </c>
      <c r="AC39" s="861">
        <v>-580.60693642000001</v>
      </c>
      <c r="AD39" s="868"/>
      <c r="AE39" s="868"/>
      <c r="AF39" s="868"/>
      <c r="AG39" s="868"/>
      <c r="AH39" s="868"/>
      <c r="AI39" s="868"/>
      <c r="AJ39" s="868"/>
      <c r="AK39" s="868"/>
      <c r="AL39" s="868"/>
      <c r="AM39" s="868"/>
      <c r="AN39" s="868"/>
      <c r="AO39" s="868"/>
      <c r="AP39" s="868"/>
    </row>
    <row r="40" spans="1:42">
      <c r="A40" s="868"/>
      <c r="B40" s="1188" t="s">
        <v>860</v>
      </c>
      <c r="C40" s="1181"/>
      <c r="D40" s="1176" t="s">
        <v>216</v>
      </c>
      <c r="E40" s="868"/>
      <c r="F40" s="1176"/>
      <c r="G40" s="1181"/>
      <c r="H40" s="1181"/>
      <c r="I40" s="1181"/>
      <c r="J40" s="868"/>
      <c r="K40" s="868"/>
      <c r="L40" s="1197" t="str">
        <f>Data!D286</f>
        <v>Other</v>
      </c>
      <c r="M40" s="1197"/>
      <c r="N40" s="1197"/>
      <c r="O40" s="1196" t="s">
        <v>836</v>
      </c>
      <c r="P40" s="868"/>
      <c r="Q40" s="868"/>
      <c r="R40" s="868"/>
      <c r="S40" s="1196" t="s">
        <v>861</v>
      </c>
      <c r="T40" s="864">
        <v>0</v>
      </c>
      <c r="U40" s="865">
        <v>0</v>
      </c>
      <c r="V40" s="865">
        <v>0</v>
      </c>
      <c r="W40" s="865">
        <v>0</v>
      </c>
      <c r="X40" s="865">
        <v>0</v>
      </c>
      <c r="Y40" s="865">
        <v>0</v>
      </c>
      <c r="Z40" s="865">
        <v>0</v>
      </c>
      <c r="AA40" s="866">
        <v>0</v>
      </c>
      <c r="AB40" s="867">
        <v>0</v>
      </c>
      <c r="AC40" s="865">
        <v>0</v>
      </c>
      <c r="AD40" s="868"/>
      <c r="AE40" s="868"/>
      <c r="AF40" s="868"/>
      <c r="AG40" s="868"/>
      <c r="AH40" s="868"/>
      <c r="AI40" s="868"/>
      <c r="AJ40" s="868"/>
      <c r="AK40" s="868"/>
      <c r="AL40" s="868"/>
      <c r="AM40" s="868"/>
      <c r="AN40" s="868"/>
      <c r="AO40" s="868"/>
      <c r="AP40" s="868"/>
    </row>
    <row r="41" spans="1:42">
      <c r="A41" s="868"/>
      <c r="B41" s="1181"/>
      <c r="C41" s="1181"/>
      <c r="D41" s="1198" t="s">
        <v>546</v>
      </c>
      <c r="E41" s="868"/>
      <c r="F41" s="868"/>
      <c r="G41" s="868"/>
      <c r="H41" s="868"/>
      <c r="I41" s="868"/>
      <c r="J41" s="868"/>
      <c r="K41" s="868"/>
      <c r="L41" s="868"/>
      <c r="M41" s="868"/>
      <c r="N41" s="868"/>
      <c r="O41" s="868"/>
      <c r="P41" s="868"/>
      <c r="Q41" s="868"/>
      <c r="R41" s="868"/>
      <c r="S41" s="868"/>
      <c r="T41" s="868" t="s">
        <v>1216</v>
      </c>
      <c r="U41" s="868" t="s">
        <v>1216</v>
      </c>
      <c r="V41" s="868" t="s">
        <v>1216</v>
      </c>
      <c r="W41" s="868" t="s">
        <v>1216</v>
      </c>
      <c r="X41" s="868" t="s">
        <v>1216</v>
      </c>
      <c r="Y41" s="868" t="s">
        <v>1216</v>
      </c>
      <c r="Z41" s="868" t="s">
        <v>1216</v>
      </c>
      <c r="AA41" s="869" t="s">
        <v>1216</v>
      </c>
      <c r="AB41" s="868" t="s">
        <v>1216</v>
      </c>
      <c r="AC41" s="868" t="s">
        <v>1216</v>
      </c>
      <c r="AD41" s="868"/>
      <c r="AE41" s="868"/>
      <c r="AF41" s="868"/>
      <c r="AG41" s="868"/>
      <c r="AH41" s="868"/>
      <c r="AI41" s="868"/>
      <c r="AJ41" s="868"/>
      <c r="AK41" s="868"/>
      <c r="AL41" s="868"/>
      <c r="AM41" s="868"/>
      <c r="AN41" s="868"/>
      <c r="AO41" s="868"/>
      <c r="AP41" s="868"/>
    </row>
    <row r="42" spans="1:42">
      <c r="A42" s="868"/>
      <c r="B42" s="1181"/>
      <c r="C42" s="1181"/>
      <c r="D42" s="868"/>
      <c r="E42" s="868"/>
      <c r="F42" s="1181"/>
      <c r="G42" s="1181"/>
      <c r="H42" s="1181"/>
      <c r="I42" s="1181"/>
      <c r="J42" s="868"/>
      <c r="K42" s="868"/>
      <c r="L42" s="868"/>
      <c r="M42" s="868"/>
      <c r="N42" s="868"/>
      <c r="O42" s="868"/>
      <c r="P42" s="868"/>
      <c r="Q42" s="868"/>
      <c r="R42" s="868"/>
      <c r="S42" s="868"/>
      <c r="T42" s="1199"/>
      <c r="U42" s="1199"/>
      <c r="V42" s="1199"/>
      <c r="W42" s="1199"/>
      <c r="X42" s="1199"/>
      <c r="Y42" s="1199"/>
      <c r="Z42" s="1199"/>
      <c r="AA42" s="868"/>
      <c r="AB42" s="878"/>
      <c r="AC42" s="868"/>
      <c r="AD42" s="868"/>
      <c r="AE42" s="868"/>
      <c r="AF42" s="868"/>
      <c r="AG42" s="868"/>
      <c r="AH42" s="868"/>
      <c r="AI42" s="868"/>
      <c r="AJ42" s="868"/>
      <c r="AK42" s="868"/>
      <c r="AL42" s="868"/>
      <c r="AM42" s="868"/>
      <c r="AN42" s="868"/>
      <c r="AO42" s="868"/>
      <c r="AP42" s="868"/>
    </row>
    <row r="43" spans="1:42">
      <c r="A43" s="868"/>
      <c r="B43" s="1181"/>
      <c r="C43" s="1181"/>
      <c r="D43" s="868"/>
      <c r="E43" s="868"/>
      <c r="F43" s="868"/>
      <c r="G43" s="868"/>
      <c r="H43" s="868"/>
      <c r="I43" s="868"/>
      <c r="J43" s="868"/>
      <c r="K43" s="868"/>
      <c r="L43" s="868"/>
      <c r="M43" s="868"/>
      <c r="N43" s="868"/>
      <c r="O43" s="868"/>
      <c r="P43" s="868"/>
      <c r="Q43" s="868"/>
      <c r="R43" s="868"/>
      <c r="S43" s="1200" t="s">
        <v>862</v>
      </c>
      <c r="T43" s="743">
        <v>2956.4069798325518</v>
      </c>
      <c r="U43" s="744">
        <v>3031.8479732951837</v>
      </c>
      <c r="V43" s="744">
        <v>3080.5356706084031</v>
      </c>
      <c r="W43" s="744">
        <v>3120.9425148899891</v>
      </c>
      <c r="X43" s="744">
        <v>2646.170589860737</v>
      </c>
      <c r="Y43" s="744">
        <v>2651.4868815561558</v>
      </c>
      <c r="Z43" s="744">
        <v>2657.7414880028409</v>
      </c>
      <c r="AA43" s="745">
        <v>2258.2907208495953</v>
      </c>
      <c r="AB43" s="870">
        <v>2263.999442475083</v>
      </c>
      <c r="AC43" s="744">
        <v>2194.8794257493364</v>
      </c>
      <c r="AD43" s="868"/>
      <c r="AE43" s="868"/>
      <c r="AF43" s="868"/>
      <c r="AG43" s="868"/>
      <c r="AH43" s="868"/>
      <c r="AI43" s="868"/>
      <c r="AJ43" s="868"/>
      <c r="AK43" s="868"/>
      <c r="AL43" s="868"/>
      <c r="AM43" s="868"/>
      <c r="AN43" s="868"/>
      <c r="AO43" s="868"/>
      <c r="AP43" s="868"/>
    </row>
    <row r="44" spans="1:42">
      <c r="A44" s="868"/>
      <c r="B44" s="1181"/>
      <c r="C44" s="1181"/>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78"/>
      <c r="AC44" s="868"/>
      <c r="AD44" s="868"/>
      <c r="AE44" s="868"/>
      <c r="AF44" s="868"/>
      <c r="AG44" s="868"/>
      <c r="AH44" s="868"/>
      <c r="AI44" s="868"/>
      <c r="AJ44" s="868"/>
      <c r="AK44" s="868"/>
      <c r="AL44" s="868"/>
      <c r="AM44" s="868"/>
      <c r="AN44" s="868"/>
      <c r="AO44" s="868"/>
      <c r="AP44" s="868"/>
    </row>
    <row r="45" spans="1:42" ht="16">
      <c r="A45" s="868"/>
      <c r="B45" s="1170" t="s">
        <v>863</v>
      </c>
      <c r="C45" s="1170"/>
      <c r="D45" s="1171"/>
      <c r="E45" s="1171"/>
      <c r="F45" s="1171"/>
      <c r="G45" s="1171"/>
      <c r="H45" s="1171"/>
      <c r="I45" s="1171"/>
      <c r="J45" s="1171"/>
      <c r="K45" s="1171"/>
      <c r="L45" s="1171"/>
      <c r="M45" s="1171"/>
      <c r="N45" s="1171"/>
      <c r="O45" s="1171"/>
      <c r="P45" s="1171"/>
      <c r="Q45" s="1171"/>
      <c r="R45" s="868"/>
      <c r="S45" s="868"/>
      <c r="T45" s="868"/>
      <c r="U45" s="868"/>
      <c r="V45" s="868"/>
      <c r="W45" s="868"/>
      <c r="X45" s="868"/>
      <c r="Y45" s="868"/>
      <c r="Z45" s="868"/>
      <c r="AA45" s="868"/>
      <c r="AB45" s="878"/>
      <c r="AC45" s="868"/>
      <c r="AD45" s="868"/>
      <c r="AE45" s="868"/>
      <c r="AF45" s="868"/>
      <c r="AG45" s="868"/>
      <c r="AH45" s="868"/>
      <c r="AI45" s="868"/>
      <c r="AJ45" s="868"/>
      <c r="AK45" s="868"/>
      <c r="AL45" s="868"/>
      <c r="AM45" s="868"/>
      <c r="AN45" s="868"/>
      <c r="AO45" s="868"/>
      <c r="AP45" s="868"/>
    </row>
    <row r="46" spans="1:42">
      <c r="A46" s="868"/>
      <c r="B46" s="1181"/>
      <c r="C46" s="1181"/>
      <c r="D46" s="868"/>
      <c r="E46" s="868"/>
      <c r="F46" s="868"/>
      <c r="G46" s="868"/>
      <c r="H46" s="868"/>
      <c r="I46" s="868"/>
      <c r="J46" s="868"/>
      <c r="K46" s="868"/>
      <c r="L46" s="868"/>
      <c r="M46" s="868"/>
      <c r="N46" s="868"/>
      <c r="O46" s="868"/>
      <c r="P46" s="868"/>
      <c r="Q46" s="868"/>
      <c r="R46" s="868"/>
      <c r="S46" s="868"/>
      <c r="T46" s="868"/>
      <c r="U46" s="868"/>
      <c r="V46" s="868"/>
      <c r="W46" s="868"/>
      <c r="X46" s="868"/>
      <c r="Y46" s="868"/>
      <c r="Z46" s="868"/>
      <c r="AA46" s="868"/>
      <c r="AB46" s="878"/>
      <c r="AC46" s="868"/>
      <c r="AD46" s="868"/>
      <c r="AE46" s="868"/>
      <c r="AF46" s="868"/>
      <c r="AG46" s="868"/>
      <c r="AH46" s="868"/>
      <c r="AI46" s="868"/>
      <c r="AJ46" s="868"/>
      <c r="AK46" s="868"/>
      <c r="AL46" s="868"/>
      <c r="AM46" s="868"/>
      <c r="AN46" s="868"/>
      <c r="AO46" s="868"/>
      <c r="AP46" s="868"/>
    </row>
    <row r="47" spans="1:42">
      <c r="A47" s="868"/>
      <c r="B47" s="1181"/>
      <c r="C47" s="1181"/>
      <c r="D47" s="1201" t="s">
        <v>864</v>
      </c>
      <c r="E47" s="1201"/>
      <c r="F47" s="1202"/>
      <c r="G47" s="1202"/>
      <c r="H47" s="1202"/>
      <c r="I47" s="1202"/>
      <c r="J47" s="1202"/>
      <c r="K47" s="1202"/>
      <c r="L47" s="1202"/>
      <c r="M47" s="1202"/>
      <c r="N47" s="1202"/>
      <c r="O47" s="1202"/>
      <c r="P47" s="1202"/>
      <c r="Q47" s="1202"/>
      <c r="R47" s="1202"/>
      <c r="S47" s="868"/>
      <c r="T47" s="1202"/>
      <c r="U47" s="868"/>
      <c r="V47" s="868"/>
      <c r="W47" s="868"/>
      <c r="X47" s="868"/>
      <c r="Y47" s="868"/>
      <c r="Z47" s="868"/>
      <c r="AA47" s="868"/>
      <c r="AB47" s="878"/>
      <c r="AC47" s="868"/>
      <c r="AD47" s="868"/>
      <c r="AE47" s="868"/>
      <c r="AF47" s="868"/>
      <c r="AG47" s="868"/>
      <c r="AH47" s="868"/>
      <c r="AI47" s="868"/>
      <c r="AJ47" s="868"/>
      <c r="AK47" s="868"/>
      <c r="AL47" s="868"/>
      <c r="AM47" s="868"/>
      <c r="AN47" s="868"/>
      <c r="AO47" s="868"/>
      <c r="AP47" s="868"/>
    </row>
    <row r="48" spans="1:42">
      <c r="A48" s="868"/>
      <c r="B48" s="1188" t="s">
        <v>819</v>
      </c>
      <c r="C48" s="1188"/>
      <c r="D48" s="1446"/>
      <c r="E48" s="1447"/>
      <c r="F48" s="1447"/>
      <c r="G48" s="1447"/>
      <c r="H48" s="1447"/>
      <c r="I48" s="1447"/>
      <c r="J48" s="1447"/>
      <c r="K48" s="1447"/>
      <c r="L48" s="1447"/>
      <c r="M48" s="1447"/>
      <c r="N48" s="1447"/>
      <c r="O48" s="1447"/>
      <c r="P48" s="1447"/>
      <c r="Q48" s="1448"/>
      <c r="R48" s="1202"/>
      <c r="S48" s="868"/>
      <c r="T48" s="1202"/>
      <c r="U48" s="868"/>
      <c r="V48" s="868"/>
      <c r="W48" s="868"/>
      <c r="X48" s="868"/>
      <c r="Y48" s="868"/>
      <c r="Z48" s="868"/>
      <c r="AA48" s="868"/>
      <c r="AB48" s="878"/>
      <c r="AC48" s="868"/>
      <c r="AD48" s="868"/>
      <c r="AE48" s="868"/>
      <c r="AF48" s="868"/>
      <c r="AG48" s="868"/>
      <c r="AH48" s="868"/>
      <c r="AI48" s="868"/>
      <c r="AJ48" s="868"/>
      <c r="AK48" s="868"/>
      <c r="AL48" s="868"/>
      <c r="AM48" s="868"/>
      <c r="AN48" s="868"/>
      <c r="AO48" s="868"/>
      <c r="AP48" s="868"/>
    </row>
    <row r="49" spans="1:42">
      <c r="A49" s="868"/>
      <c r="B49" s="1188" t="s">
        <v>834</v>
      </c>
      <c r="C49" s="1188"/>
      <c r="D49" s="1446"/>
      <c r="E49" s="1447"/>
      <c r="F49" s="1447"/>
      <c r="G49" s="1447"/>
      <c r="H49" s="1447"/>
      <c r="I49" s="1447"/>
      <c r="J49" s="1447"/>
      <c r="K49" s="1447"/>
      <c r="L49" s="1447"/>
      <c r="M49" s="1447"/>
      <c r="N49" s="1447"/>
      <c r="O49" s="1447"/>
      <c r="P49" s="1447"/>
      <c r="Q49" s="1448"/>
      <c r="R49" s="1202"/>
      <c r="S49" s="868"/>
      <c r="T49" s="1202"/>
      <c r="U49" s="868"/>
      <c r="V49" s="868"/>
      <c r="W49" s="868"/>
      <c r="X49" s="868"/>
      <c r="Y49" s="868"/>
      <c r="Z49" s="868"/>
      <c r="AA49" s="868"/>
      <c r="AB49" s="878"/>
      <c r="AC49" s="868"/>
      <c r="AD49" s="868"/>
      <c r="AE49" s="868"/>
      <c r="AF49" s="868"/>
      <c r="AG49" s="868"/>
      <c r="AH49" s="868"/>
      <c r="AI49" s="868"/>
      <c r="AJ49" s="868"/>
      <c r="AK49" s="868"/>
      <c r="AL49" s="868"/>
      <c r="AM49" s="868"/>
      <c r="AN49" s="868"/>
      <c r="AO49" s="868"/>
      <c r="AP49" s="868"/>
    </row>
    <row r="50" spans="1:42">
      <c r="A50" s="868"/>
      <c r="B50" s="1188" t="s">
        <v>838</v>
      </c>
      <c r="C50" s="1188"/>
      <c r="D50" s="1446"/>
      <c r="E50" s="1447"/>
      <c r="F50" s="1447"/>
      <c r="G50" s="1447"/>
      <c r="H50" s="1447"/>
      <c r="I50" s="1447"/>
      <c r="J50" s="1447"/>
      <c r="K50" s="1447"/>
      <c r="L50" s="1447"/>
      <c r="M50" s="1447"/>
      <c r="N50" s="1447"/>
      <c r="O50" s="1447"/>
      <c r="P50" s="1447"/>
      <c r="Q50" s="1448"/>
      <c r="R50" s="1202"/>
      <c r="S50" s="868"/>
      <c r="T50" s="1202"/>
      <c r="U50" s="868"/>
      <c r="V50" s="868"/>
      <c r="W50" s="868"/>
      <c r="X50" s="868"/>
      <c r="Y50" s="868"/>
      <c r="Z50" s="868"/>
      <c r="AA50" s="868"/>
      <c r="AB50" s="878"/>
      <c r="AC50" s="868"/>
      <c r="AD50" s="868"/>
      <c r="AE50" s="868"/>
      <c r="AF50" s="868"/>
      <c r="AG50" s="868"/>
      <c r="AH50" s="868"/>
      <c r="AI50" s="868"/>
      <c r="AJ50" s="868"/>
      <c r="AK50" s="868"/>
      <c r="AL50" s="868"/>
      <c r="AM50" s="868"/>
      <c r="AN50" s="868"/>
      <c r="AO50" s="868"/>
      <c r="AP50" s="868"/>
    </row>
    <row r="51" spans="1:42">
      <c r="A51" s="868"/>
      <c r="B51" s="1188" t="s">
        <v>841</v>
      </c>
      <c r="C51" s="1188"/>
      <c r="D51" s="1446"/>
      <c r="E51" s="1447"/>
      <c r="F51" s="1447"/>
      <c r="G51" s="1447"/>
      <c r="H51" s="1447"/>
      <c r="I51" s="1447"/>
      <c r="J51" s="1447"/>
      <c r="K51" s="1447"/>
      <c r="L51" s="1447"/>
      <c r="M51" s="1447"/>
      <c r="N51" s="1447"/>
      <c r="O51" s="1447"/>
      <c r="P51" s="1447"/>
      <c r="Q51" s="1448"/>
      <c r="R51" s="1202"/>
      <c r="S51" s="868"/>
      <c r="T51" s="1202"/>
      <c r="U51" s="868"/>
      <c r="V51" s="868"/>
      <c r="W51" s="868"/>
      <c r="X51" s="868"/>
      <c r="Y51" s="868"/>
      <c r="Z51" s="868"/>
      <c r="AA51" s="868"/>
      <c r="AB51" s="878"/>
      <c r="AC51" s="868"/>
      <c r="AD51" s="868"/>
      <c r="AE51" s="868"/>
      <c r="AF51" s="868"/>
      <c r="AG51" s="868"/>
      <c r="AH51" s="868"/>
      <c r="AI51" s="868"/>
      <c r="AJ51" s="868"/>
      <c r="AK51" s="868"/>
      <c r="AL51" s="868"/>
      <c r="AM51" s="868"/>
      <c r="AN51" s="868"/>
      <c r="AO51" s="868"/>
      <c r="AP51" s="868"/>
    </row>
    <row r="52" spans="1:42">
      <c r="A52" s="868"/>
      <c r="B52" s="1188" t="s">
        <v>844</v>
      </c>
      <c r="C52" s="1188"/>
      <c r="D52" s="1446"/>
      <c r="E52" s="1447"/>
      <c r="F52" s="1447"/>
      <c r="G52" s="1447"/>
      <c r="H52" s="1447"/>
      <c r="I52" s="1447"/>
      <c r="J52" s="1447"/>
      <c r="K52" s="1447"/>
      <c r="L52" s="1447"/>
      <c r="M52" s="1447"/>
      <c r="N52" s="1447"/>
      <c r="O52" s="1447"/>
      <c r="P52" s="1447"/>
      <c r="Q52" s="1448"/>
      <c r="R52" s="1202"/>
      <c r="S52" s="868"/>
      <c r="T52" s="1202"/>
      <c r="U52" s="868"/>
      <c r="V52" s="868"/>
      <c r="W52" s="868"/>
      <c r="X52" s="868"/>
      <c r="Y52" s="868"/>
      <c r="Z52" s="868"/>
      <c r="AA52" s="868"/>
      <c r="AB52" s="878"/>
      <c r="AC52" s="868"/>
      <c r="AD52" s="868"/>
      <c r="AE52" s="868"/>
      <c r="AF52" s="868"/>
      <c r="AG52" s="868"/>
      <c r="AH52" s="868"/>
      <c r="AI52" s="868"/>
      <c r="AJ52" s="868"/>
      <c r="AK52" s="868"/>
      <c r="AL52" s="868"/>
      <c r="AM52" s="868"/>
      <c r="AN52" s="868"/>
      <c r="AO52" s="868"/>
      <c r="AP52" s="868"/>
    </row>
    <row r="53" spans="1:42">
      <c r="A53" s="868"/>
      <c r="B53" s="1188" t="s">
        <v>847</v>
      </c>
      <c r="C53" s="1188"/>
      <c r="D53" s="1446"/>
      <c r="E53" s="1447"/>
      <c r="F53" s="1447"/>
      <c r="G53" s="1447"/>
      <c r="H53" s="1447"/>
      <c r="I53" s="1447"/>
      <c r="J53" s="1447"/>
      <c r="K53" s="1447"/>
      <c r="L53" s="1447"/>
      <c r="M53" s="1447"/>
      <c r="N53" s="1447"/>
      <c r="O53" s="1447"/>
      <c r="P53" s="1447"/>
      <c r="Q53" s="1448"/>
      <c r="R53" s="1202"/>
      <c r="S53" s="868"/>
      <c r="T53" s="1202"/>
      <c r="U53" s="868"/>
      <c r="V53" s="868"/>
      <c r="W53" s="868"/>
      <c r="X53" s="868"/>
      <c r="Y53" s="868"/>
      <c r="Z53" s="868"/>
      <c r="AA53" s="868"/>
      <c r="AB53" s="878"/>
      <c r="AC53" s="868"/>
      <c r="AD53" s="868"/>
      <c r="AE53" s="868"/>
      <c r="AF53" s="868"/>
      <c r="AG53" s="868"/>
      <c r="AH53" s="868"/>
      <c r="AI53" s="868"/>
      <c r="AJ53" s="868"/>
      <c r="AK53" s="868"/>
      <c r="AL53" s="868"/>
      <c r="AM53" s="868"/>
      <c r="AN53" s="868"/>
      <c r="AO53" s="868"/>
      <c r="AP53" s="868"/>
    </row>
    <row r="54" spans="1:42">
      <c r="A54" s="868"/>
      <c r="B54" s="1188" t="s">
        <v>850</v>
      </c>
      <c r="C54" s="1188"/>
      <c r="D54" s="1446"/>
      <c r="E54" s="1447"/>
      <c r="F54" s="1447"/>
      <c r="G54" s="1447"/>
      <c r="H54" s="1447"/>
      <c r="I54" s="1447"/>
      <c r="J54" s="1447"/>
      <c r="K54" s="1447"/>
      <c r="L54" s="1447"/>
      <c r="M54" s="1447"/>
      <c r="N54" s="1447"/>
      <c r="O54" s="1447"/>
      <c r="P54" s="1447"/>
      <c r="Q54" s="1448"/>
      <c r="R54" s="1202"/>
      <c r="S54" s="868"/>
      <c r="T54" s="1202"/>
      <c r="U54" s="868"/>
      <c r="V54" s="868"/>
      <c r="W54" s="868"/>
      <c r="X54" s="868"/>
      <c r="Y54" s="868"/>
      <c r="Z54" s="868"/>
      <c r="AA54" s="868"/>
      <c r="AB54" s="878"/>
      <c r="AC54" s="868"/>
      <c r="AD54" s="868"/>
      <c r="AE54" s="868"/>
      <c r="AF54" s="868"/>
      <c r="AG54" s="868"/>
      <c r="AH54" s="868"/>
      <c r="AI54" s="868"/>
      <c r="AJ54" s="868"/>
      <c r="AK54" s="868"/>
      <c r="AL54" s="868"/>
      <c r="AM54" s="868"/>
      <c r="AN54" s="868"/>
      <c r="AO54" s="868"/>
      <c r="AP54" s="868"/>
    </row>
    <row r="55" spans="1:42">
      <c r="A55" s="868"/>
      <c r="B55" s="1188" t="s">
        <v>865</v>
      </c>
      <c r="C55" s="1188"/>
      <c r="D55" s="1446"/>
      <c r="E55" s="1447"/>
      <c r="F55" s="1447"/>
      <c r="G55" s="1447"/>
      <c r="H55" s="1447"/>
      <c r="I55" s="1447"/>
      <c r="J55" s="1447"/>
      <c r="K55" s="1447"/>
      <c r="L55" s="1447"/>
      <c r="M55" s="1447"/>
      <c r="N55" s="1447"/>
      <c r="O55" s="1447"/>
      <c r="P55" s="1447"/>
      <c r="Q55" s="1448"/>
      <c r="R55" s="1202"/>
      <c r="S55" s="868"/>
      <c r="T55" s="1202"/>
      <c r="U55" s="868"/>
      <c r="V55" s="868"/>
      <c r="W55" s="868"/>
      <c r="X55" s="868"/>
      <c r="Y55" s="868"/>
      <c r="Z55" s="868"/>
      <c r="AA55" s="868"/>
      <c r="AB55" s="878"/>
      <c r="AC55" s="868"/>
      <c r="AD55" s="868"/>
      <c r="AE55" s="868"/>
      <c r="AF55" s="868"/>
      <c r="AG55" s="868"/>
      <c r="AH55" s="868"/>
      <c r="AI55" s="868"/>
      <c r="AJ55" s="868"/>
      <c r="AK55" s="868"/>
      <c r="AL55" s="868"/>
      <c r="AM55" s="868"/>
      <c r="AN55" s="868"/>
      <c r="AO55" s="868"/>
      <c r="AP55" s="868"/>
    </row>
    <row r="56" spans="1:42">
      <c r="A56" s="868"/>
      <c r="B56" s="1188" t="s">
        <v>857</v>
      </c>
      <c r="C56" s="1188"/>
      <c r="D56" s="1446"/>
      <c r="E56" s="1447"/>
      <c r="F56" s="1447"/>
      <c r="G56" s="1447"/>
      <c r="H56" s="1447"/>
      <c r="I56" s="1447"/>
      <c r="J56" s="1447"/>
      <c r="K56" s="1447"/>
      <c r="L56" s="1447"/>
      <c r="M56" s="1447"/>
      <c r="N56" s="1447"/>
      <c r="O56" s="1447"/>
      <c r="P56" s="1447"/>
      <c r="Q56" s="1448"/>
      <c r="R56" s="1202"/>
      <c r="S56" s="868"/>
      <c r="T56" s="1202"/>
      <c r="U56" s="868"/>
      <c r="V56" s="868"/>
      <c r="W56" s="868"/>
      <c r="X56" s="868"/>
      <c r="Y56" s="868"/>
      <c r="Z56" s="868"/>
      <c r="AA56" s="868"/>
      <c r="AB56" s="878"/>
      <c r="AC56" s="868"/>
      <c r="AD56" s="868"/>
      <c r="AE56" s="868"/>
      <c r="AF56" s="868"/>
      <c r="AG56" s="868"/>
      <c r="AH56" s="868"/>
      <c r="AI56" s="868"/>
      <c r="AJ56" s="868"/>
      <c r="AK56" s="868"/>
      <c r="AL56" s="868"/>
      <c r="AM56" s="868"/>
      <c r="AN56" s="868"/>
      <c r="AO56" s="868"/>
      <c r="AP56" s="868"/>
    </row>
    <row r="57" spans="1:42">
      <c r="A57" s="868"/>
      <c r="B57" s="1188" t="s">
        <v>860</v>
      </c>
      <c r="C57" s="1188"/>
      <c r="D57" s="1446"/>
      <c r="E57" s="1447"/>
      <c r="F57" s="1447"/>
      <c r="G57" s="1447"/>
      <c r="H57" s="1447"/>
      <c r="I57" s="1447"/>
      <c r="J57" s="1447"/>
      <c r="K57" s="1447"/>
      <c r="L57" s="1447"/>
      <c r="M57" s="1447"/>
      <c r="N57" s="1447"/>
      <c r="O57" s="1447"/>
      <c r="P57" s="1447"/>
      <c r="Q57" s="1448"/>
      <c r="R57" s="1202"/>
      <c r="S57" s="868"/>
      <c r="T57" s="1202"/>
      <c r="U57" s="868"/>
      <c r="V57" s="868"/>
      <c r="W57" s="868"/>
      <c r="X57" s="868"/>
      <c r="Y57" s="868"/>
      <c r="Z57" s="868"/>
      <c r="AA57" s="868"/>
      <c r="AB57" s="878"/>
      <c r="AC57" s="868"/>
      <c r="AD57" s="868"/>
      <c r="AE57" s="868"/>
      <c r="AF57" s="868"/>
      <c r="AG57" s="868"/>
      <c r="AH57" s="868"/>
      <c r="AI57" s="868"/>
      <c r="AJ57" s="868"/>
      <c r="AK57" s="868"/>
      <c r="AL57" s="868"/>
      <c r="AM57" s="868"/>
      <c r="AN57" s="868"/>
      <c r="AO57" s="868"/>
      <c r="AP57" s="868"/>
    </row>
    <row r="58" spans="1:42">
      <c r="A58" s="868"/>
      <c r="B58" s="1181"/>
      <c r="C58" s="1181"/>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78"/>
      <c r="AC58" s="868"/>
      <c r="AD58" s="868"/>
      <c r="AE58" s="868"/>
      <c r="AF58" s="868"/>
      <c r="AG58" s="868"/>
      <c r="AH58" s="868"/>
      <c r="AI58" s="868"/>
      <c r="AJ58" s="868"/>
      <c r="AK58" s="868"/>
      <c r="AL58" s="868"/>
      <c r="AM58" s="868"/>
      <c r="AN58" s="868"/>
      <c r="AO58" s="868"/>
      <c r="AP58" s="868"/>
    </row>
    <row r="59" spans="1:42">
      <c r="A59" s="868"/>
      <c r="B59" s="1181"/>
      <c r="C59" s="1181"/>
      <c r="D59" s="1201" t="s">
        <v>788</v>
      </c>
      <c r="E59" s="1201"/>
      <c r="S59" s="868"/>
      <c r="T59" s="1190" t="s">
        <v>705</v>
      </c>
      <c r="U59" s="1191" t="s">
        <v>705</v>
      </c>
      <c r="V59" s="1191" t="s">
        <v>705</v>
      </c>
      <c r="W59" s="1191" t="s">
        <v>705</v>
      </c>
      <c r="X59" s="1191" t="s">
        <v>705</v>
      </c>
      <c r="Y59" s="1191" t="s">
        <v>705</v>
      </c>
      <c r="Z59" s="1191" t="s">
        <v>705</v>
      </c>
      <c r="AA59" s="1192" t="s">
        <v>705</v>
      </c>
      <c r="AB59" s="1193" t="s">
        <v>705</v>
      </c>
      <c r="AC59" s="1191" t="s">
        <v>705</v>
      </c>
      <c r="AD59" s="868"/>
      <c r="AE59" s="868"/>
      <c r="AF59" s="868"/>
      <c r="AG59" s="868"/>
      <c r="AH59" s="868"/>
      <c r="AI59" s="868"/>
      <c r="AJ59" s="868"/>
      <c r="AK59" s="868"/>
      <c r="AL59" s="868"/>
      <c r="AM59" s="868"/>
      <c r="AN59" s="868"/>
      <c r="AO59" s="868"/>
      <c r="AP59" s="868"/>
    </row>
    <row r="60" spans="1:42">
      <c r="A60" s="868"/>
      <c r="B60" s="1181"/>
      <c r="C60" s="1181"/>
      <c r="D60" s="1435" t="s">
        <v>862</v>
      </c>
      <c r="E60" s="1435"/>
      <c r="F60" s="1435"/>
      <c r="G60" s="1435"/>
      <c r="H60" s="1435"/>
      <c r="I60" s="1435"/>
      <c r="J60" s="1435"/>
      <c r="K60" s="1435"/>
      <c r="L60" s="1435"/>
      <c r="M60" s="1435"/>
      <c r="N60" s="1435"/>
      <c r="O60" s="1435"/>
      <c r="P60" s="1435"/>
      <c r="Q60" s="1435"/>
      <c r="R60" s="1435"/>
      <c r="S60" s="868"/>
      <c r="T60" s="811">
        <v>2956.4069798325518</v>
      </c>
      <c r="U60" s="871">
        <v>3031.8479732951837</v>
      </c>
      <c r="V60" s="871">
        <v>3080.5356706084031</v>
      </c>
      <c r="W60" s="871">
        <v>3120.9425148899891</v>
      </c>
      <c r="X60" s="871">
        <v>2646.170589860737</v>
      </c>
      <c r="Y60" s="871">
        <v>2651.4868815561558</v>
      </c>
      <c r="Z60" s="871">
        <v>2657.7414880028409</v>
      </c>
      <c r="AA60" s="872">
        <v>2258.2907208495953</v>
      </c>
      <c r="AB60" s="873">
        <v>2263.999442475083</v>
      </c>
      <c r="AC60" s="871">
        <v>2194.8794257493364</v>
      </c>
      <c r="AD60" s="868"/>
      <c r="AE60" s="868"/>
      <c r="AF60" s="868"/>
      <c r="AG60" s="868"/>
      <c r="AH60" s="868"/>
      <c r="AI60" s="868"/>
      <c r="AJ60" s="868"/>
      <c r="AK60" s="868"/>
      <c r="AL60" s="868"/>
      <c r="AM60" s="868"/>
      <c r="AN60" s="868"/>
      <c r="AO60" s="868"/>
      <c r="AP60" s="868"/>
    </row>
    <row r="61" spans="1:42">
      <c r="A61" s="868"/>
      <c r="B61" s="1181"/>
      <c r="C61" s="1181"/>
      <c r="D61" s="1435" t="s">
        <v>866</v>
      </c>
      <c r="E61" s="1435"/>
      <c r="F61" s="1435"/>
      <c r="G61" s="1435"/>
      <c r="H61" s="1435"/>
      <c r="I61" s="1435"/>
      <c r="J61" s="1435"/>
      <c r="K61" s="1435"/>
      <c r="L61" s="1435"/>
      <c r="M61" s="1435"/>
      <c r="N61" s="1435"/>
      <c r="O61" s="1435"/>
      <c r="P61" s="1435"/>
      <c r="Q61" s="1435"/>
      <c r="R61" s="1435"/>
      <c r="S61" s="868"/>
      <c r="T61" s="108"/>
      <c r="U61" s="108"/>
      <c r="V61" s="108"/>
      <c r="W61" s="108"/>
      <c r="X61" s="108"/>
      <c r="Y61" s="108"/>
      <c r="Z61" s="108"/>
      <c r="AA61" s="108"/>
      <c r="AB61" s="108"/>
      <c r="AC61" s="108"/>
      <c r="AD61" s="868"/>
      <c r="AE61" s="868"/>
      <c r="AF61" s="868"/>
      <c r="AG61" s="868"/>
      <c r="AH61" s="868"/>
      <c r="AI61" s="868"/>
      <c r="AJ61" s="868"/>
      <c r="AK61" s="868"/>
      <c r="AL61" s="868"/>
      <c r="AM61" s="868"/>
      <c r="AN61" s="868"/>
      <c r="AO61" s="868"/>
      <c r="AP61" s="868"/>
    </row>
    <row r="62" spans="1:42" ht="12.75" customHeight="1">
      <c r="A62" s="868"/>
      <c r="B62" s="1181"/>
      <c r="C62" s="1181"/>
      <c r="D62" s="1435" t="s">
        <v>867</v>
      </c>
      <c r="E62" s="1435"/>
      <c r="F62" s="1435"/>
      <c r="G62" s="1435"/>
      <c r="H62" s="1435"/>
      <c r="I62" s="1435"/>
      <c r="J62" s="1435"/>
      <c r="K62" s="1435"/>
      <c r="L62" s="1435"/>
      <c r="M62" s="1435"/>
      <c r="N62" s="1435"/>
      <c r="O62" s="1435"/>
      <c r="P62" s="1435"/>
      <c r="Q62" s="1435"/>
      <c r="R62" s="1435"/>
      <c r="S62" s="868"/>
      <c r="T62" s="108"/>
      <c r="U62" s="108"/>
      <c r="V62" s="108"/>
      <c r="W62" s="108"/>
      <c r="X62" s="108"/>
      <c r="Y62" s="108"/>
      <c r="Z62" s="108"/>
      <c r="AA62" s="108"/>
      <c r="AB62" s="108"/>
      <c r="AC62" s="108"/>
      <c r="AD62" s="868"/>
      <c r="AE62" s="868"/>
      <c r="AF62" s="868"/>
      <c r="AG62" s="868"/>
      <c r="AH62" s="868"/>
      <c r="AI62" s="868"/>
      <c r="AJ62" s="868"/>
      <c r="AK62" s="868"/>
      <c r="AL62" s="868"/>
      <c r="AM62" s="868"/>
      <c r="AN62" s="868"/>
      <c r="AO62" s="868"/>
      <c r="AP62" s="868"/>
    </row>
    <row r="63" spans="1:42" ht="12.75" customHeight="1">
      <c r="A63" s="868"/>
      <c r="B63" s="1181"/>
      <c r="C63" s="1181"/>
      <c r="D63" s="1435" t="s">
        <v>868</v>
      </c>
      <c r="E63" s="1435"/>
      <c r="F63" s="1435"/>
      <c r="G63" s="1435"/>
      <c r="H63" s="1435"/>
      <c r="I63" s="1435"/>
      <c r="J63" s="1435"/>
      <c r="K63" s="1435"/>
      <c r="L63" s="1435"/>
      <c r="M63" s="1435"/>
      <c r="N63" s="1435"/>
      <c r="O63" s="1435"/>
      <c r="P63" s="1435"/>
      <c r="Q63" s="1435"/>
      <c r="R63" s="1435"/>
      <c r="S63" s="868"/>
      <c r="T63" s="108"/>
      <c r="U63" s="108"/>
      <c r="V63" s="108"/>
      <c r="W63" s="108"/>
      <c r="X63" s="108"/>
      <c r="Y63" s="108"/>
      <c r="Z63" s="108"/>
      <c r="AA63" s="108"/>
      <c r="AB63" s="108"/>
      <c r="AC63" s="108"/>
      <c r="AD63" s="868"/>
      <c r="AE63" s="868"/>
      <c r="AF63" s="868"/>
      <c r="AG63" s="868"/>
      <c r="AH63" s="868"/>
      <c r="AI63" s="868"/>
      <c r="AJ63" s="868"/>
      <c r="AK63" s="868"/>
      <c r="AL63" s="868"/>
      <c r="AM63" s="868"/>
      <c r="AN63" s="868"/>
      <c r="AO63" s="868"/>
      <c r="AP63" s="868"/>
    </row>
    <row r="64" spans="1:42" ht="12.75" customHeight="1">
      <c r="A64" s="868"/>
      <c r="B64" s="1181"/>
      <c r="C64" s="1181"/>
      <c r="D64" s="1435" t="s">
        <v>869</v>
      </c>
      <c r="E64" s="1435"/>
      <c r="F64" s="1435"/>
      <c r="G64" s="1435"/>
      <c r="H64" s="1435"/>
      <c r="I64" s="1435"/>
      <c r="J64" s="1435"/>
      <c r="K64" s="1435"/>
      <c r="L64" s="1435"/>
      <c r="M64" s="1435"/>
      <c r="N64" s="1435"/>
      <c r="O64" s="1435"/>
      <c r="P64" s="1435"/>
      <c r="Q64" s="1435"/>
      <c r="R64" s="1435"/>
      <c r="S64" s="868"/>
      <c r="T64" s="108"/>
      <c r="U64" s="108"/>
      <c r="V64" s="108"/>
      <c r="W64" s="108"/>
      <c r="X64" s="108"/>
      <c r="Y64" s="108"/>
      <c r="Z64" s="108"/>
      <c r="AA64" s="108"/>
      <c r="AB64" s="108"/>
      <c r="AC64" s="108"/>
      <c r="AD64" s="868"/>
      <c r="AE64" s="868"/>
      <c r="AF64" s="868"/>
      <c r="AG64" s="868"/>
      <c r="AH64" s="868"/>
      <c r="AI64" s="868"/>
      <c r="AJ64" s="868"/>
      <c r="AK64" s="868"/>
      <c r="AL64" s="868"/>
      <c r="AM64" s="868"/>
      <c r="AN64" s="868"/>
      <c r="AO64" s="868"/>
      <c r="AP64" s="868"/>
    </row>
    <row r="65" spans="1:42" ht="12.75" customHeight="1">
      <c r="A65" s="868"/>
      <c r="B65" s="1181"/>
      <c r="C65" s="1323"/>
      <c r="D65" s="1435" t="s">
        <v>1134</v>
      </c>
      <c r="E65" s="1435"/>
      <c r="F65" s="1435"/>
      <c r="G65" s="1435"/>
      <c r="H65" s="1435"/>
      <c r="I65" s="1435"/>
      <c r="J65" s="1435"/>
      <c r="K65" s="1435"/>
      <c r="L65" s="1435"/>
      <c r="M65" s="1435"/>
      <c r="N65" s="1435"/>
      <c r="O65" s="1435"/>
      <c r="P65" s="1435"/>
      <c r="Q65" s="1435"/>
      <c r="R65" s="1435"/>
      <c r="S65" s="868"/>
      <c r="T65" s="108"/>
      <c r="U65" s="108"/>
      <c r="V65" s="108"/>
      <c r="W65" s="108"/>
      <c r="X65" s="108"/>
      <c r="Y65" s="108"/>
      <c r="Z65" s="108"/>
      <c r="AA65" s="108"/>
      <c r="AB65" s="108"/>
      <c r="AC65" s="108"/>
      <c r="AD65" s="868"/>
      <c r="AE65" s="868"/>
      <c r="AF65" s="868"/>
      <c r="AG65" s="868"/>
      <c r="AH65" s="868"/>
      <c r="AI65" s="868"/>
      <c r="AJ65" s="868"/>
      <c r="AK65" s="868"/>
      <c r="AL65" s="868"/>
      <c r="AM65" s="868"/>
      <c r="AN65" s="868"/>
      <c r="AO65" s="868"/>
      <c r="AP65" s="868"/>
    </row>
    <row r="66" spans="1:42" ht="12.75" customHeight="1">
      <c r="A66" s="868"/>
      <c r="B66" s="1181"/>
      <c r="C66" s="1181"/>
      <c r="D66" s="1437" t="s">
        <v>1177</v>
      </c>
      <c r="E66" s="1438"/>
      <c r="F66" s="1438"/>
      <c r="G66" s="1438"/>
      <c r="H66" s="1438"/>
      <c r="I66" s="1438"/>
      <c r="J66" s="1438"/>
      <c r="K66" s="1438"/>
      <c r="L66" s="1438"/>
      <c r="M66" s="1438"/>
      <c r="N66" s="1438"/>
      <c r="O66" s="1438"/>
      <c r="P66" s="1438"/>
      <c r="Q66" s="1438"/>
      <c r="R66" s="1439"/>
      <c r="S66" s="868"/>
      <c r="T66" s="108"/>
      <c r="U66" s="108"/>
      <c r="V66" s="108"/>
      <c r="W66" s="108"/>
      <c r="X66" s="108"/>
      <c r="Y66" s="108"/>
      <c r="Z66" s="108"/>
      <c r="AA66" s="108"/>
      <c r="AB66" s="108"/>
      <c r="AC66" s="108"/>
      <c r="AD66" s="868"/>
      <c r="AE66" s="868"/>
      <c r="AF66" s="868"/>
      <c r="AG66" s="868"/>
      <c r="AH66" s="868"/>
      <c r="AI66" s="868"/>
      <c r="AJ66" s="868"/>
      <c r="AK66" s="868"/>
      <c r="AL66" s="868"/>
      <c r="AM66" s="868"/>
      <c r="AN66" s="868"/>
      <c r="AO66" s="868"/>
      <c r="AP66" s="868"/>
    </row>
    <row r="67" spans="1:42" ht="12.75" customHeight="1">
      <c r="A67" s="868"/>
      <c r="B67" s="1181"/>
      <c r="C67" s="1181"/>
      <c r="D67" s="1437" t="s">
        <v>1178</v>
      </c>
      <c r="E67" s="1438"/>
      <c r="F67" s="1438"/>
      <c r="G67" s="1438"/>
      <c r="H67" s="1438"/>
      <c r="I67" s="1438"/>
      <c r="J67" s="1438"/>
      <c r="K67" s="1438"/>
      <c r="L67" s="1438"/>
      <c r="M67" s="1438"/>
      <c r="N67" s="1438"/>
      <c r="O67" s="1438"/>
      <c r="P67" s="1438"/>
      <c r="Q67" s="1438"/>
      <c r="R67" s="1439"/>
      <c r="S67" s="868"/>
      <c r="T67" s="108"/>
      <c r="U67" s="108"/>
      <c r="V67" s="108"/>
      <c r="W67" s="108"/>
      <c r="X67" s="108"/>
      <c r="Y67" s="108"/>
      <c r="Z67" s="108"/>
      <c r="AA67" s="108"/>
      <c r="AB67" s="108"/>
      <c r="AC67" s="108"/>
      <c r="AD67" s="868"/>
      <c r="AE67" s="868"/>
      <c r="AF67" s="868"/>
      <c r="AG67" s="868"/>
      <c r="AH67" s="868"/>
      <c r="AI67" s="868"/>
      <c r="AJ67" s="868"/>
      <c r="AK67" s="868"/>
      <c r="AL67" s="868"/>
      <c r="AM67" s="868"/>
      <c r="AN67" s="868"/>
      <c r="AO67" s="868"/>
      <c r="AP67" s="868"/>
    </row>
    <row r="68" spans="1:42" ht="12.75" customHeight="1">
      <c r="A68" s="868"/>
      <c r="B68" s="1181"/>
      <c r="C68" s="1181"/>
      <c r="D68" s="1437" t="s">
        <v>1179</v>
      </c>
      <c r="E68" s="1438"/>
      <c r="F68" s="1438"/>
      <c r="G68" s="1438"/>
      <c r="H68" s="1438"/>
      <c r="I68" s="1438"/>
      <c r="J68" s="1438"/>
      <c r="K68" s="1438"/>
      <c r="L68" s="1438"/>
      <c r="M68" s="1438"/>
      <c r="N68" s="1438"/>
      <c r="O68" s="1438"/>
      <c r="P68" s="1438"/>
      <c r="Q68" s="1438"/>
      <c r="R68" s="1439"/>
      <c r="S68" s="868"/>
      <c r="T68" s="108"/>
      <c r="U68" s="108"/>
      <c r="V68" s="108"/>
      <c r="W68" s="108"/>
      <c r="X68" s="108"/>
      <c r="Y68" s="108"/>
      <c r="Z68" s="108"/>
      <c r="AA68" s="108"/>
      <c r="AB68" s="108"/>
      <c r="AC68" s="108"/>
      <c r="AD68" s="868"/>
      <c r="AE68" s="868"/>
      <c r="AF68" s="868"/>
      <c r="AG68" s="868"/>
      <c r="AH68" s="868"/>
      <c r="AI68" s="868"/>
      <c r="AJ68" s="868"/>
      <c r="AK68" s="868"/>
      <c r="AL68" s="868"/>
      <c r="AM68" s="868"/>
      <c r="AN68" s="868"/>
      <c r="AO68" s="868"/>
      <c r="AP68" s="868"/>
    </row>
    <row r="69" spans="1:42" ht="12.75" customHeight="1">
      <c r="A69" s="868"/>
      <c r="B69" s="1181"/>
      <c r="C69" s="1181"/>
      <c r="D69" s="1437" t="s">
        <v>1180</v>
      </c>
      <c r="E69" s="1438"/>
      <c r="F69" s="1438"/>
      <c r="G69" s="1438"/>
      <c r="H69" s="1438"/>
      <c r="I69" s="1438"/>
      <c r="J69" s="1438"/>
      <c r="K69" s="1438"/>
      <c r="L69" s="1438"/>
      <c r="M69" s="1438"/>
      <c r="N69" s="1438"/>
      <c r="O69" s="1438"/>
      <c r="P69" s="1438"/>
      <c r="Q69" s="1438"/>
      <c r="R69" s="1439"/>
      <c r="S69" s="868"/>
      <c r="T69" s="108"/>
      <c r="U69" s="108"/>
      <c r="V69" s="108"/>
      <c r="W69" s="108"/>
      <c r="X69" s="108"/>
      <c r="Y69" s="108"/>
      <c r="Z69" s="108"/>
      <c r="AA69" s="108"/>
      <c r="AB69" s="108"/>
      <c r="AC69" s="108"/>
      <c r="AD69" s="868"/>
      <c r="AE69" s="868"/>
      <c r="AF69" s="868"/>
      <c r="AG69" s="868"/>
      <c r="AH69" s="868"/>
      <c r="AI69" s="868"/>
      <c r="AJ69" s="868"/>
      <c r="AK69" s="868"/>
      <c r="AL69" s="868"/>
      <c r="AM69" s="868"/>
      <c r="AN69" s="868"/>
      <c r="AO69" s="868"/>
      <c r="AP69" s="868"/>
    </row>
    <row r="70" spans="1:42" ht="12.75" customHeight="1">
      <c r="A70" s="868"/>
      <c r="B70" s="1181"/>
      <c r="C70" s="1181"/>
      <c r="D70" s="1437" t="s">
        <v>1181</v>
      </c>
      <c r="E70" s="1438"/>
      <c r="F70" s="1438"/>
      <c r="G70" s="1438"/>
      <c r="H70" s="1438"/>
      <c r="I70" s="1438"/>
      <c r="J70" s="1438"/>
      <c r="K70" s="1438"/>
      <c r="L70" s="1438"/>
      <c r="M70" s="1438"/>
      <c r="N70" s="1438"/>
      <c r="O70" s="1438"/>
      <c r="P70" s="1438"/>
      <c r="Q70" s="1438"/>
      <c r="R70" s="1439"/>
      <c r="S70" s="868"/>
      <c r="T70" s="108"/>
      <c r="U70" s="108"/>
      <c r="V70" s="108"/>
      <c r="W70" s="108"/>
      <c r="X70" s="108"/>
      <c r="Y70" s="108"/>
      <c r="Z70" s="108"/>
      <c r="AA70" s="108"/>
      <c r="AB70" s="108"/>
      <c r="AC70" s="108"/>
      <c r="AD70" s="868"/>
      <c r="AE70" s="868"/>
      <c r="AF70" s="868"/>
      <c r="AG70" s="868"/>
      <c r="AH70" s="868"/>
      <c r="AI70" s="868"/>
      <c r="AJ70" s="868"/>
      <c r="AK70" s="868"/>
      <c r="AL70" s="868"/>
      <c r="AM70" s="868"/>
      <c r="AN70" s="868"/>
      <c r="AO70" s="868"/>
      <c r="AP70" s="868"/>
    </row>
    <row r="71" spans="1:42" ht="12.75" customHeight="1">
      <c r="A71" s="868"/>
      <c r="B71" s="1181"/>
      <c r="C71" s="1181"/>
      <c r="D71" s="1437" t="s">
        <v>1182</v>
      </c>
      <c r="E71" s="1438"/>
      <c r="F71" s="1438"/>
      <c r="G71" s="1438"/>
      <c r="H71" s="1438"/>
      <c r="I71" s="1438"/>
      <c r="J71" s="1438"/>
      <c r="K71" s="1438"/>
      <c r="L71" s="1438"/>
      <c r="M71" s="1438"/>
      <c r="N71" s="1438"/>
      <c r="O71" s="1438"/>
      <c r="P71" s="1438"/>
      <c r="Q71" s="1438"/>
      <c r="R71" s="1439"/>
      <c r="S71" s="868"/>
      <c r="T71" s="108"/>
      <c r="U71" s="108"/>
      <c r="V71" s="108"/>
      <c r="W71" s="108">
        <v>121.68334952675545</v>
      </c>
      <c r="X71" s="108">
        <v>132.34775439915015</v>
      </c>
      <c r="Y71" s="108">
        <v>144.96573705583876</v>
      </c>
      <c r="Z71" s="108">
        <v>158.68625696283613</v>
      </c>
      <c r="AA71" s="108">
        <v>172.79797729254648</v>
      </c>
      <c r="AB71" s="108">
        <v>187.19170288771281</v>
      </c>
      <c r="AC71" s="108">
        <v>200.82470374067009</v>
      </c>
      <c r="AD71" s="868"/>
      <c r="AE71" s="868"/>
      <c r="AF71" s="868"/>
      <c r="AG71" s="868"/>
      <c r="AH71" s="868"/>
      <c r="AI71" s="868"/>
      <c r="AJ71" s="868"/>
      <c r="AK71" s="868"/>
      <c r="AL71" s="868"/>
      <c r="AM71" s="868"/>
      <c r="AN71" s="868"/>
      <c r="AO71" s="868"/>
      <c r="AP71" s="868"/>
    </row>
    <row r="72" spans="1:42" ht="12.75" customHeight="1">
      <c r="A72" s="868"/>
      <c r="B72" s="1181"/>
      <c r="C72" s="1181"/>
      <c r="D72" s="1437" t="s">
        <v>1183</v>
      </c>
      <c r="E72" s="1438"/>
      <c r="F72" s="1438"/>
      <c r="G72" s="1438"/>
      <c r="H72" s="1438"/>
      <c r="I72" s="1438"/>
      <c r="J72" s="1438"/>
      <c r="K72" s="1438"/>
      <c r="L72" s="1438"/>
      <c r="M72" s="1438"/>
      <c r="N72" s="1438"/>
      <c r="O72" s="1438"/>
      <c r="P72" s="1438"/>
      <c r="Q72" s="1438"/>
      <c r="R72" s="1439"/>
      <c r="S72" s="868"/>
      <c r="T72" s="1347">
        <v>29</v>
      </c>
      <c r="U72" s="1347">
        <v>86</v>
      </c>
      <c r="V72" s="1347">
        <v>111</v>
      </c>
      <c r="W72" s="108"/>
      <c r="X72" s="108"/>
      <c r="Y72" s="108"/>
      <c r="Z72" s="108"/>
      <c r="AA72" s="108"/>
      <c r="AB72" s="108"/>
      <c r="AC72" s="108"/>
      <c r="AD72" s="868"/>
      <c r="AE72" s="868"/>
      <c r="AF72" s="868"/>
      <c r="AG72" s="868"/>
      <c r="AH72" s="868"/>
      <c r="AI72" s="868"/>
      <c r="AJ72" s="868"/>
      <c r="AK72" s="868"/>
      <c r="AL72" s="868"/>
      <c r="AM72" s="868"/>
      <c r="AN72" s="868"/>
      <c r="AO72" s="868"/>
      <c r="AP72" s="868"/>
    </row>
    <row r="73" spans="1:42" ht="12.75" customHeight="1">
      <c r="A73" s="868"/>
      <c r="B73" s="1181"/>
      <c r="C73" s="1181"/>
      <c r="D73" s="1437" t="s">
        <v>1184</v>
      </c>
      <c r="E73" s="1438"/>
      <c r="F73" s="1438"/>
      <c r="G73" s="1438"/>
      <c r="H73" s="1438"/>
      <c r="I73" s="1438"/>
      <c r="J73" s="1438"/>
      <c r="K73" s="1438"/>
      <c r="L73" s="1438"/>
      <c r="M73" s="1438"/>
      <c r="N73" s="1438"/>
      <c r="O73" s="1438"/>
      <c r="P73" s="1438"/>
      <c r="Q73" s="1438"/>
      <c r="R73" s="1439"/>
      <c r="S73" s="868"/>
      <c r="T73" s="108">
        <v>30</v>
      </c>
      <c r="U73" s="108"/>
      <c r="V73" s="108">
        <v>60</v>
      </c>
      <c r="W73" s="108"/>
      <c r="X73" s="108"/>
      <c r="Y73" s="108"/>
      <c r="Z73" s="108"/>
      <c r="AA73" s="108"/>
      <c r="AB73" s="108"/>
      <c r="AC73" s="108"/>
      <c r="AD73" s="868"/>
      <c r="AE73" s="868"/>
      <c r="AF73" s="868"/>
      <c r="AG73" s="868"/>
      <c r="AH73" s="868"/>
      <c r="AI73" s="868"/>
      <c r="AJ73" s="868"/>
      <c r="AK73" s="868"/>
      <c r="AL73" s="868"/>
      <c r="AM73" s="868"/>
      <c r="AN73" s="868"/>
      <c r="AO73" s="868"/>
      <c r="AP73" s="868"/>
    </row>
    <row r="74" spans="1:42" ht="12.75" customHeight="1">
      <c r="A74" s="868"/>
      <c r="B74" s="1181"/>
      <c r="C74" s="1181"/>
      <c r="D74" s="1440" t="s">
        <v>803</v>
      </c>
      <c r="E74" s="1441"/>
      <c r="F74" s="1441"/>
      <c r="G74" s="1441"/>
      <c r="H74" s="1441"/>
      <c r="I74" s="1441"/>
      <c r="J74" s="1441"/>
      <c r="K74" s="1441"/>
      <c r="L74" s="1441"/>
      <c r="M74" s="1441"/>
      <c r="N74" s="1441"/>
      <c r="O74" s="1441"/>
      <c r="P74" s="1441"/>
      <c r="Q74" s="1441"/>
      <c r="R74" s="1442"/>
      <c r="S74" s="868"/>
      <c r="T74" s="108"/>
      <c r="U74" s="108"/>
      <c r="V74" s="108"/>
      <c r="W74" s="108"/>
      <c r="X74" s="108"/>
      <c r="Y74" s="108"/>
      <c r="Z74" s="108"/>
      <c r="AA74" s="108"/>
      <c r="AB74" s="108"/>
      <c r="AC74" s="108"/>
      <c r="AD74" s="868"/>
      <c r="AE74" s="868"/>
      <c r="AF74" s="868"/>
      <c r="AG74" s="868"/>
      <c r="AH74" s="868"/>
      <c r="AI74" s="868"/>
      <c r="AJ74" s="868"/>
      <c r="AK74" s="868"/>
      <c r="AL74" s="868"/>
      <c r="AM74" s="868"/>
      <c r="AN74" s="868"/>
      <c r="AO74" s="868"/>
      <c r="AP74" s="868"/>
    </row>
    <row r="75" spans="1:42" ht="12.75" customHeight="1">
      <c r="A75" s="868"/>
      <c r="B75" s="1181"/>
      <c r="C75" s="1181"/>
      <c r="D75" s="1440" t="s">
        <v>804</v>
      </c>
      <c r="E75" s="1441"/>
      <c r="F75" s="1441"/>
      <c r="G75" s="1441"/>
      <c r="H75" s="1441"/>
      <c r="I75" s="1441"/>
      <c r="J75" s="1441"/>
      <c r="K75" s="1441"/>
      <c r="L75" s="1441"/>
      <c r="M75" s="1441"/>
      <c r="N75" s="1441"/>
      <c r="O75" s="1441"/>
      <c r="P75" s="1441"/>
      <c r="Q75" s="1441"/>
      <c r="R75" s="1442"/>
      <c r="S75" s="868"/>
      <c r="T75" s="108"/>
      <c r="U75" s="108"/>
      <c r="V75" s="108"/>
      <c r="W75" s="108"/>
      <c r="X75" s="108"/>
      <c r="Y75" s="108"/>
      <c r="Z75" s="108"/>
      <c r="AA75" s="108"/>
      <c r="AB75" s="108"/>
      <c r="AC75" s="108"/>
      <c r="AD75" s="868"/>
      <c r="AE75" s="868"/>
      <c r="AF75" s="868"/>
      <c r="AG75" s="868"/>
      <c r="AH75" s="868"/>
      <c r="AI75" s="868"/>
      <c r="AJ75" s="868"/>
      <c r="AK75" s="868"/>
      <c r="AL75" s="868"/>
      <c r="AM75" s="868"/>
      <c r="AN75" s="868"/>
      <c r="AO75" s="868"/>
      <c r="AP75" s="868"/>
    </row>
    <row r="76" spans="1:42" ht="12.75" customHeight="1">
      <c r="A76" s="868"/>
      <c r="B76" s="1181"/>
      <c r="C76" s="1181"/>
      <c r="D76" s="1443" t="s">
        <v>870</v>
      </c>
      <c r="E76" s="1444"/>
      <c r="F76" s="1444"/>
      <c r="G76" s="1444"/>
      <c r="H76" s="1444"/>
      <c r="I76" s="1444"/>
      <c r="J76" s="1444"/>
      <c r="K76" s="1444"/>
      <c r="L76" s="1444"/>
      <c r="M76" s="1444"/>
      <c r="N76" s="1444"/>
      <c r="O76" s="1444"/>
      <c r="P76" s="1444"/>
      <c r="Q76" s="1444"/>
      <c r="R76" s="1445"/>
      <c r="S76" s="868"/>
      <c r="T76" s="108"/>
      <c r="U76" s="108"/>
      <c r="V76" s="108"/>
      <c r="W76" s="108"/>
      <c r="X76" s="108"/>
      <c r="Y76" s="108"/>
      <c r="Z76" s="108"/>
      <c r="AA76" s="108"/>
      <c r="AB76" s="108"/>
      <c r="AC76" s="108"/>
      <c r="AD76" s="868"/>
      <c r="AE76" s="868"/>
      <c r="AF76" s="868"/>
      <c r="AG76" s="868"/>
      <c r="AH76" s="868"/>
      <c r="AI76" s="868"/>
      <c r="AJ76" s="868"/>
      <c r="AK76" s="868"/>
      <c r="AL76" s="868"/>
      <c r="AM76" s="868"/>
      <c r="AN76" s="868"/>
      <c r="AO76" s="868"/>
      <c r="AP76" s="868"/>
    </row>
    <row r="77" spans="1:42">
      <c r="A77" s="868"/>
      <c r="B77" s="1181"/>
      <c r="C77" s="1181"/>
      <c r="D77" s="1436" t="s">
        <v>871</v>
      </c>
      <c r="E77" s="1436"/>
      <c r="F77" s="1436"/>
      <c r="G77" s="1436"/>
      <c r="H77" s="1436"/>
      <c r="I77" s="1436"/>
      <c r="J77" s="1436"/>
      <c r="K77" s="1436"/>
      <c r="L77" s="1436"/>
      <c r="M77" s="1436"/>
      <c r="N77" s="1436"/>
      <c r="O77" s="1436"/>
      <c r="P77" s="1436"/>
      <c r="Q77" s="1436"/>
      <c r="R77" s="1436"/>
      <c r="S77" s="868"/>
      <c r="T77" s="743">
        <v>3015.4069798325518</v>
      </c>
      <c r="U77" s="744">
        <v>3117.8479732951837</v>
      </c>
      <c r="V77" s="744">
        <v>3251.5356706084031</v>
      </c>
      <c r="W77" s="744">
        <v>3242.6258644167447</v>
      </c>
      <c r="X77" s="744">
        <v>2778.5183442598873</v>
      </c>
      <c r="Y77" s="744">
        <v>2796.4526186119947</v>
      </c>
      <c r="Z77" s="744">
        <v>2816.427744965677</v>
      </c>
      <c r="AA77" s="745">
        <v>2431.0886981421418</v>
      </c>
      <c r="AB77" s="870">
        <v>2451.1911453627959</v>
      </c>
      <c r="AC77" s="744">
        <v>2395.7041294900064</v>
      </c>
      <c r="AD77" s="868"/>
      <c r="AE77" s="868"/>
      <c r="AF77" s="868"/>
      <c r="AG77" s="868"/>
      <c r="AH77" s="868"/>
      <c r="AI77" s="868"/>
      <c r="AJ77" s="868"/>
      <c r="AK77" s="868"/>
      <c r="AL77" s="868"/>
      <c r="AM77" s="868"/>
      <c r="AN77" s="868"/>
      <c r="AO77" s="868"/>
      <c r="AP77" s="868"/>
    </row>
    <row r="78" spans="1:42">
      <c r="A78" s="868"/>
      <c r="B78" s="1181"/>
      <c r="C78" s="1181"/>
      <c r="D78" s="868"/>
      <c r="E78" s="868"/>
      <c r="F78" s="868"/>
      <c r="G78" s="868"/>
      <c r="H78" s="868"/>
      <c r="I78" s="868"/>
      <c r="J78" s="868"/>
      <c r="K78" s="868"/>
      <c r="L78" s="868"/>
      <c r="M78" s="868"/>
      <c r="N78" s="868"/>
      <c r="O78" s="868"/>
      <c r="P78" s="868"/>
      <c r="Q78" s="868"/>
      <c r="R78" s="868"/>
      <c r="S78" s="868"/>
      <c r="T78" s="868"/>
      <c r="U78" s="868"/>
      <c r="V78" s="868"/>
      <c r="W78" s="868"/>
      <c r="X78" s="868"/>
      <c r="Y78" s="868"/>
      <c r="Z78" s="868"/>
      <c r="AA78" s="868"/>
      <c r="AB78" s="878"/>
      <c r="AC78" s="868"/>
      <c r="AD78" s="868"/>
      <c r="AE78" s="868"/>
      <c r="AF78" s="868"/>
      <c r="AG78" s="868"/>
      <c r="AH78" s="868"/>
      <c r="AI78" s="868"/>
      <c r="AJ78" s="868"/>
      <c r="AK78" s="868"/>
      <c r="AL78" s="868"/>
      <c r="AM78" s="868"/>
      <c r="AN78" s="868"/>
      <c r="AO78" s="868"/>
      <c r="AP78" s="868"/>
    </row>
    <row r="79" spans="1:42">
      <c r="A79" s="868"/>
      <c r="B79" s="1181"/>
      <c r="C79" s="1181"/>
      <c r="D79" s="1176" t="s">
        <v>806</v>
      </c>
      <c r="E79" s="1176"/>
      <c r="F79" s="868"/>
      <c r="G79" s="868"/>
      <c r="H79" s="868"/>
      <c r="I79" s="868"/>
      <c r="J79" s="868"/>
      <c r="K79" s="868"/>
      <c r="L79" s="868"/>
      <c r="M79" s="868"/>
      <c r="N79" s="868"/>
      <c r="O79" s="868"/>
      <c r="P79" s="868"/>
      <c r="Q79" s="868"/>
      <c r="R79" s="868"/>
      <c r="S79" s="868"/>
      <c r="T79" s="868"/>
      <c r="U79" s="868"/>
      <c r="V79" s="868"/>
      <c r="W79" s="868"/>
      <c r="X79" s="868"/>
      <c r="Y79" s="868"/>
      <c r="Z79" s="868"/>
      <c r="AA79" s="868"/>
      <c r="AB79" s="878"/>
      <c r="AC79" s="868"/>
      <c r="AD79" s="868"/>
      <c r="AE79" s="868"/>
      <c r="AF79" s="868"/>
      <c r="AG79" s="868"/>
      <c r="AH79" s="868"/>
      <c r="AI79" s="868"/>
      <c r="AJ79" s="868"/>
      <c r="AK79" s="868"/>
      <c r="AL79" s="868"/>
      <c r="AM79" s="868"/>
      <c r="AN79" s="868"/>
      <c r="AO79" s="868"/>
      <c r="AP79" s="868"/>
    </row>
    <row r="80" spans="1:42">
      <c r="A80" s="868"/>
      <c r="B80" s="1181"/>
      <c r="C80" s="1181"/>
      <c r="D80" s="868" t="s">
        <v>807</v>
      </c>
      <c r="E80" s="868"/>
      <c r="F80" s="868"/>
      <c r="G80" s="868"/>
      <c r="H80" s="868"/>
      <c r="I80" s="868"/>
      <c r="J80" s="868"/>
      <c r="K80" s="868"/>
      <c r="L80" s="868"/>
      <c r="M80" s="868"/>
      <c r="N80" s="868"/>
      <c r="O80" s="868"/>
      <c r="P80" s="868"/>
      <c r="Q80" s="868"/>
      <c r="R80" s="868"/>
      <c r="S80" s="868"/>
      <c r="T80" s="73"/>
      <c r="U80" s="74"/>
      <c r="V80" s="74"/>
      <c r="W80" s="74"/>
      <c r="X80" s="74"/>
      <c r="Y80" s="74"/>
      <c r="Z80" s="74"/>
      <c r="AA80" s="75"/>
      <c r="AB80" s="76"/>
      <c r="AC80" s="74"/>
      <c r="AD80" s="868"/>
      <c r="AE80" s="868"/>
      <c r="AF80" s="868"/>
      <c r="AG80" s="868"/>
      <c r="AH80" s="868"/>
      <c r="AI80" s="868"/>
      <c r="AJ80" s="868"/>
      <c r="AK80" s="868"/>
      <c r="AL80" s="868"/>
      <c r="AM80" s="868"/>
      <c r="AN80" s="868"/>
      <c r="AO80" s="868"/>
      <c r="AP80" s="868"/>
    </row>
    <row r="81" spans="1:42">
      <c r="A81" s="868"/>
      <c r="B81" s="1181"/>
      <c r="C81" s="1181"/>
      <c r="D81" s="868" t="s">
        <v>737</v>
      </c>
      <c r="E81" s="868"/>
      <c r="F81" s="868"/>
      <c r="G81" s="868"/>
      <c r="H81" s="868"/>
      <c r="I81" s="868"/>
      <c r="J81" s="868"/>
      <c r="K81" s="868"/>
      <c r="L81" s="868"/>
      <c r="M81" s="868"/>
      <c r="N81" s="868"/>
      <c r="O81" s="868"/>
      <c r="P81" s="868"/>
      <c r="Q81" s="868"/>
      <c r="R81" s="868"/>
      <c r="S81" s="868"/>
      <c r="T81" s="55">
        <v>1</v>
      </c>
      <c r="U81" s="56">
        <v>1</v>
      </c>
      <c r="V81" s="56">
        <v>1</v>
      </c>
      <c r="W81" s="56">
        <v>1</v>
      </c>
      <c r="X81" s="56">
        <v>1</v>
      </c>
      <c r="Y81" s="56">
        <v>1</v>
      </c>
      <c r="Z81" s="56">
        <v>1</v>
      </c>
      <c r="AA81" s="57">
        <v>1</v>
      </c>
      <c r="AB81" s="58">
        <v>1</v>
      </c>
      <c r="AC81" s="56">
        <v>1</v>
      </c>
      <c r="AD81" s="868"/>
      <c r="AE81" s="868"/>
      <c r="AF81" s="868"/>
      <c r="AG81" s="868"/>
      <c r="AH81" s="868"/>
      <c r="AI81" s="868"/>
      <c r="AJ81" s="868"/>
      <c r="AK81" s="868"/>
      <c r="AL81" s="868"/>
      <c r="AM81" s="868"/>
      <c r="AN81" s="868"/>
      <c r="AO81" s="868"/>
      <c r="AP81" s="868"/>
    </row>
    <row r="82" spans="1:42">
      <c r="A82" s="868"/>
      <c r="B82" s="1181"/>
      <c r="C82" s="1181"/>
      <c r="D82" s="868"/>
      <c r="E82" s="868"/>
      <c r="F82" s="868"/>
      <c r="G82" s="868"/>
      <c r="H82" s="868"/>
      <c r="I82" s="868"/>
      <c r="J82" s="868"/>
      <c r="K82" s="868"/>
      <c r="L82" s="868"/>
      <c r="M82" s="868"/>
      <c r="N82" s="868"/>
      <c r="O82" s="868"/>
      <c r="P82" s="868"/>
      <c r="Q82" s="868"/>
      <c r="R82" s="868"/>
      <c r="S82" s="868"/>
      <c r="T82" s="868"/>
      <c r="U82" s="868"/>
      <c r="V82" s="868"/>
      <c r="W82" s="868"/>
      <c r="X82" s="868"/>
      <c r="Y82" s="868"/>
      <c r="Z82" s="868"/>
      <c r="AA82" s="868"/>
      <c r="AB82" s="878"/>
      <c r="AC82" s="868"/>
      <c r="AD82" s="868"/>
      <c r="AE82" s="868"/>
      <c r="AF82" s="868"/>
      <c r="AG82" s="868"/>
      <c r="AH82" s="868"/>
      <c r="AI82" s="868"/>
      <c r="AJ82" s="868"/>
      <c r="AK82" s="868"/>
      <c r="AL82" s="868"/>
      <c r="AM82" s="868"/>
      <c r="AN82" s="868"/>
      <c r="AO82" s="868"/>
      <c r="AP82" s="868"/>
    </row>
    <row r="83" spans="1:42">
      <c r="A83" s="868"/>
      <c r="B83" s="1181"/>
      <c r="C83" s="1181"/>
      <c r="D83" s="868"/>
      <c r="E83" s="868"/>
      <c r="F83" s="868"/>
      <c r="G83" s="868"/>
      <c r="H83" s="868"/>
      <c r="I83" s="868"/>
      <c r="J83" s="868"/>
      <c r="K83" s="868"/>
      <c r="L83" s="868"/>
      <c r="M83" s="868"/>
      <c r="N83" s="868"/>
      <c r="O83" s="868"/>
      <c r="P83" s="868"/>
      <c r="Q83" s="868"/>
      <c r="R83" s="868"/>
      <c r="S83" s="868"/>
      <c r="T83" s="868"/>
      <c r="U83" s="868"/>
      <c r="V83" s="868"/>
      <c r="W83" s="868"/>
      <c r="X83" s="868"/>
      <c r="Y83" s="868"/>
      <c r="Z83" s="868"/>
      <c r="AA83" s="868"/>
      <c r="AB83" s="878"/>
      <c r="AC83" s="868"/>
      <c r="AD83" s="868"/>
      <c r="AE83" s="868"/>
      <c r="AF83" s="868"/>
      <c r="AG83" s="868"/>
      <c r="AH83" s="868"/>
      <c r="AI83" s="868"/>
      <c r="AJ83" s="868"/>
      <c r="AK83" s="868"/>
      <c r="AL83" s="868"/>
      <c r="AM83" s="868"/>
      <c r="AN83" s="868"/>
      <c r="AO83" s="868"/>
      <c r="AP83" s="868"/>
    </row>
    <row r="84" spans="1:42" ht="16">
      <c r="A84" s="868"/>
      <c r="B84" s="1170" t="s">
        <v>872</v>
      </c>
      <c r="C84" s="1170"/>
      <c r="D84" s="1171"/>
      <c r="E84" s="1171"/>
      <c r="F84" s="1171"/>
      <c r="G84" s="1171"/>
      <c r="H84" s="1171"/>
      <c r="I84" s="1171"/>
      <c r="J84" s="1171"/>
      <c r="K84" s="1171"/>
      <c r="L84" s="1171"/>
      <c r="M84" s="1171"/>
      <c r="N84" s="1171"/>
      <c r="O84" s="1171"/>
      <c r="P84" s="1171"/>
      <c r="Q84" s="1171"/>
      <c r="R84" s="868"/>
      <c r="S84" s="868"/>
      <c r="T84" s="868"/>
      <c r="U84" s="868"/>
      <c r="V84" s="868"/>
      <c r="W84" s="868"/>
      <c r="X84" s="868"/>
      <c r="Y84" s="868"/>
      <c r="Z84" s="868"/>
      <c r="AA84" s="868"/>
      <c r="AB84" s="878"/>
      <c r="AC84" s="868"/>
      <c r="AD84" s="868"/>
      <c r="AE84" s="868"/>
      <c r="AF84" s="868"/>
      <c r="AG84" s="868"/>
      <c r="AH84" s="868"/>
      <c r="AI84" s="868"/>
      <c r="AJ84" s="868"/>
      <c r="AK84" s="868"/>
      <c r="AL84" s="868"/>
      <c r="AM84" s="868"/>
      <c r="AN84" s="868"/>
      <c r="AO84" s="868"/>
      <c r="AP84" s="868"/>
    </row>
    <row r="85" spans="1:42">
      <c r="A85" s="868"/>
      <c r="B85" s="1181"/>
      <c r="C85" s="1181"/>
      <c r="D85" s="868"/>
      <c r="E85" s="868"/>
      <c r="F85" s="868"/>
      <c r="G85" s="868"/>
      <c r="H85" s="868"/>
      <c r="I85" s="868"/>
      <c r="J85" s="868"/>
      <c r="K85" s="868"/>
      <c r="L85" s="868"/>
      <c r="M85" s="868"/>
      <c r="N85" s="868"/>
      <c r="O85" s="868"/>
      <c r="P85" s="868"/>
      <c r="Q85" s="868"/>
      <c r="R85" s="868"/>
      <c r="S85" s="868"/>
      <c r="T85" s="868"/>
      <c r="U85" s="868"/>
      <c r="V85" s="868"/>
      <c r="W85" s="868"/>
      <c r="X85" s="868"/>
      <c r="Y85" s="868"/>
      <c r="Z85" s="868"/>
      <c r="AA85" s="868"/>
      <c r="AB85" s="878"/>
      <c r="AC85" s="868"/>
      <c r="AD85" s="868"/>
      <c r="AE85" s="868"/>
      <c r="AF85" s="868"/>
      <c r="AG85" s="868"/>
      <c r="AH85" s="868"/>
      <c r="AI85" s="868"/>
      <c r="AJ85" s="868"/>
      <c r="AK85" s="868"/>
      <c r="AL85" s="868"/>
      <c r="AM85" s="868"/>
      <c r="AN85" s="868"/>
      <c r="AO85" s="868"/>
      <c r="AP85" s="868"/>
    </row>
    <row r="86" spans="1:42">
      <c r="A86" s="868"/>
      <c r="B86" s="1181"/>
      <c r="C86" s="1181"/>
      <c r="D86" s="1201" t="s">
        <v>873</v>
      </c>
      <c r="E86" s="1201"/>
      <c r="S86" s="868"/>
      <c r="T86" s="1190" t="s">
        <v>484</v>
      </c>
      <c r="U86" s="1191" t="s">
        <v>484</v>
      </c>
      <c r="V86" s="1191" t="s">
        <v>484</v>
      </c>
      <c r="W86" s="1191" t="s">
        <v>484</v>
      </c>
      <c r="X86" s="1191" t="s">
        <v>484</v>
      </c>
      <c r="Y86" s="1191" t="s">
        <v>484</v>
      </c>
      <c r="Z86" s="1191" t="s">
        <v>484</v>
      </c>
      <c r="AA86" s="1192" t="s">
        <v>484</v>
      </c>
      <c r="AB86" s="1193" t="s">
        <v>484</v>
      </c>
      <c r="AC86" s="1191" t="s">
        <v>484</v>
      </c>
      <c r="AD86" s="868"/>
      <c r="AE86" s="868"/>
      <c r="AF86" s="868"/>
      <c r="AG86" s="868"/>
      <c r="AH86" s="868"/>
      <c r="AI86" s="868"/>
      <c r="AJ86" s="868"/>
      <c r="AK86" s="868"/>
      <c r="AL86" s="868"/>
      <c r="AM86" s="868"/>
      <c r="AN86" s="868"/>
      <c r="AO86" s="868"/>
      <c r="AP86" s="868"/>
    </row>
    <row r="87" spans="1:42" ht="12.75" customHeight="1">
      <c r="A87" s="868"/>
      <c r="B87" s="1181"/>
      <c r="C87" s="1181"/>
      <c r="D87" s="1435" t="s">
        <v>874</v>
      </c>
      <c r="E87" s="1435"/>
      <c r="F87" s="1435"/>
      <c r="G87" s="1435"/>
      <c r="H87" s="1435"/>
      <c r="I87" s="1435"/>
      <c r="J87" s="1435"/>
      <c r="K87" s="1435"/>
      <c r="L87" s="1435"/>
      <c r="M87" s="1435"/>
      <c r="N87" s="1435"/>
      <c r="O87" s="1435"/>
      <c r="P87" s="1435"/>
      <c r="Q87" s="1435"/>
      <c r="R87" s="1435"/>
      <c r="S87" s="868"/>
      <c r="T87" s="874">
        <v>0.71968768049156473</v>
      </c>
      <c r="U87" s="874">
        <v>0.71450918463478441</v>
      </c>
      <c r="V87" s="874">
        <v>0.78910925011776323</v>
      </c>
      <c r="W87" s="874">
        <v>0.78277635308707805</v>
      </c>
      <c r="X87" s="874">
        <v>0.92322090244702248</v>
      </c>
      <c r="Y87" s="874">
        <v>0.92136982347286012</v>
      </c>
      <c r="Z87" s="874">
        <v>0.9192015141532035</v>
      </c>
      <c r="AA87" s="874">
        <v>0.91573683623071955</v>
      </c>
      <c r="AB87" s="874">
        <v>0.91342778677506653</v>
      </c>
      <c r="AC87" s="874">
        <v>0.90802254402634697</v>
      </c>
      <c r="AD87" s="868"/>
      <c r="AE87" s="868"/>
      <c r="AF87" s="868"/>
      <c r="AG87" s="868"/>
      <c r="AH87" s="868"/>
      <c r="AI87" s="868"/>
      <c r="AJ87" s="868"/>
      <c r="AK87" s="868"/>
      <c r="AL87" s="868"/>
      <c r="AM87" s="868"/>
      <c r="AN87" s="868"/>
      <c r="AO87" s="868"/>
      <c r="AP87" s="868"/>
    </row>
    <row r="88" spans="1:42" ht="12.75" customHeight="1">
      <c r="A88" s="868"/>
      <c r="B88" s="1181"/>
      <c r="C88" s="1181"/>
      <c r="D88" s="1435" t="s">
        <v>875</v>
      </c>
      <c r="E88" s="1435"/>
      <c r="F88" s="1435"/>
      <c r="G88" s="1435"/>
      <c r="H88" s="1435"/>
      <c r="I88" s="1435"/>
      <c r="J88" s="1435"/>
      <c r="K88" s="1435"/>
      <c r="L88" s="1435"/>
      <c r="M88" s="1435"/>
      <c r="N88" s="1435"/>
      <c r="O88" s="1435"/>
      <c r="P88" s="1435"/>
      <c r="Q88" s="1435"/>
      <c r="R88" s="1435"/>
      <c r="S88" s="868"/>
      <c r="T88" s="874">
        <v>0.10042153681277648</v>
      </c>
      <c r="U88" s="874">
        <v>9.4611915338292413E-2</v>
      </c>
      <c r="V88" s="874">
        <v>0</v>
      </c>
      <c r="W88" s="874">
        <v>0</v>
      </c>
      <c r="X88" s="874">
        <v>0</v>
      </c>
      <c r="Y88" s="874">
        <v>0</v>
      </c>
      <c r="Z88" s="874">
        <v>0</v>
      </c>
      <c r="AA88" s="874">
        <v>0</v>
      </c>
      <c r="AB88" s="874">
        <v>0</v>
      </c>
      <c r="AC88" s="874">
        <v>0</v>
      </c>
      <c r="AD88" s="868"/>
      <c r="AE88" s="868"/>
      <c r="AF88" s="868"/>
      <c r="AG88" s="868"/>
      <c r="AH88" s="868"/>
      <c r="AI88" s="868"/>
      <c r="AJ88" s="868"/>
      <c r="AK88" s="868"/>
      <c r="AL88" s="868"/>
      <c r="AM88" s="868"/>
      <c r="AN88" s="868"/>
      <c r="AO88" s="868"/>
      <c r="AP88" s="868"/>
    </row>
    <row r="89" spans="1:42" ht="12.75" customHeight="1">
      <c r="A89" s="868"/>
      <c r="B89" s="1181"/>
      <c r="C89" s="1181"/>
      <c r="D89" s="1435" t="s">
        <v>876</v>
      </c>
      <c r="E89" s="1435"/>
      <c r="F89" s="1435"/>
      <c r="G89" s="1435"/>
      <c r="H89" s="1435"/>
      <c r="I89" s="1435"/>
      <c r="J89" s="1435"/>
      <c r="K89" s="1435"/>
      <c r="L89" s="1435"/>
      <c r="M89" s="1435"/>
      <c r="N89" s="1435"/>
      <c r="O89" s="1435"/>
      <c r="P89" s="1435"/>
      <c r="Q89" s="1435"/>
      <c r="R89" s="1435"/>
      <c r="S89" s="868"/>
      <c r="T89" s="874">
        <v>0.17989078269565867</v>
      </c>
      <c r="U89" s="874">
        <v>0.19087890002692323</v>
      </c>
      <c r="V89" s="874">
        <v>0.21089074988223674</v>
      </c>
      <c r="W89" s="874">
        <v>0.21722364691292176</v>
      </c>
      <c r="X89" s="874">
        <v>7.6779097552977293E-2</v>
      </c>
      <c r="Y89" s="874">
        <v>7.86301765271398E-2</v>
      </c>
      <c r="Z89" s="874">
        <v>8.0798485846796275E-2</v>
      </c>
      <c r="AA89" s="874">
        <v>8.4263163769280267E-2</v>
      </c>
      <c r="AB89" s="874">
        <v>8.6572213224933511E-2</v>
      </c>
      <c r="AC89" s="874">
        <v>9.1977455973652936E-2</v>
      </c>
      <c r="AD89" s="868"/>
      <c r="AE89" s="868"/>
      <c r="AF89" s="868"/>
      <c r="AG89" s="868"/>
      <c r="AH89" s="868"/>
      <c r="AI89" s="868"/>
      <c r="AJ89" s="868"/>
      <c r="AK89" s="868"/>
      <c r="AL89" s="868"/>
      <c r="AM89" s="868"/>
      <c r="AN89" s="868"/>
      <c r="AO89" s="868"/>
      <c r="AP89" s="868"/>
    </row>
    <row r="90" spans="1:42" ht="12.75" customHeight="1">
      <c r="A90" s="868"/>
      <c r="B90" s="1181"/>
      <c r="C90" s="1181"/>
      <c r="D90" s="1435" t="s">
        <v>877</v>
      </c>
      <c r="E90" s="1435"/>
      <c r="F90" s="1435"/>
      <c r="G90" s="1435"/>
      <c r="H90" s="1435"/>
      <c r="I90" s="1435"/>
      <c r="J90" s="1435"/>
      <c r="K90" s="1435"/>
      <c r="L90" s="1435"/>
      <c r="M90" s="1435"/>
      <c r="N90" s="1435"/>
      <c r="O90" s="1435"/>
      <c r="P90" s="1435"/>
      <c r="Q90" s="1435"/>
      <c r="R90" s="1435"/>
      <c r="S90" s="868"/>
      <c r="T90" s="874">
        <v>0</v>
      </c>
      <c r="U90" s="874">
        <v>0</v>
      </c>
      <c r="V90" s="874">
        <v>0</v>
      </c>
      <c r="W90" s="874">
        <v>0</v>
      </c>
      <c r="X90" s="874">
        <v>0</v>
      </c>
      <c r="Y90" s="874">
        <v>0</v>
      </c>
      <c r="Z90" s="874">
        <v>0</v>
      </c>
      <c r="AA90" s="874">
        <v>0</v>
      </c>
      <c r="AB90" s="874">
        <v>0</v>
      </c>
      <c r="AC90" s="874">
        <v>0</v>
      </c>
      <c r="AD90" s="868"/>
      <c r="AE90" s="868"/>
      <c r="AF90" s="868"/>
      <c r="AG90" s="868"/>
      <c r="AH90" s="868"/>
      <c r="AI90" s="868"/>
      <c r="AJ90" s="868"/>
      <c r="AK90" s="868"/>
      <c r="AL90" s="868"/>
      <c r="AM90" s="868"/>
      <c r="AN90" s="868"/>
      <c r="AO90" s="868"/>
      <c r="AP90" s="868"/>
    </row>
    <row r="91" spans="1:42" ht="12.75" customHeight="1">
      <c r="A91" s="868"/>
      <c r="B91" s="1181"/>
      <c r="C91" s="1181"/>
      <c r="D91" s="1435" t="s">
        <v>878</v>
      </c>
      <c r="E91" s="1435"/>
      <c r="F91" s="1435"/>
      <c r="G91" s="1435"/>
      <c r="H91" s="1435"/>
      <c r="I91" s="1435"/>
      <c r="J91" s="1435"/>
      <c r="K91" s="1435"/>
      <c r="L91" s="1435"/>
      <c r="M91" s="1435"/>
      <c r="N91" s="1435"/>
      <c r="O91" s="1435"/>
      <c r="P91" s="1435"/>
      <c r="Q91" s="1435"/>
      <c r="R91" s="1435"/>
      <c r="S91" s="868"/>
      <c r="T91" s="875">
        <v>0</v>
      </c>
      <c r="U91" s="876">
        <v>0</v>
      </c>
      <c r="V91" s="876">
        <v>0</v>
      </c>
      <c r="W91" s="876">
        <v>0</v>
      </c>
      <c r="X91" s="876">
        <v>0</v>
      </c>
      <c r="Y91" s="876">
        <v>0</v>
      </c>
      <c r="Z91" s="876">
        <v>0</v>
      </c>
      <c r="AA91" s="877">
        <v>0</v>
      </c>
      <c r="AB91" s="876">
        <v>0</v>
      </c>
      <c r="AC91" s="876">
        <v>0</v>
      </c>
      <c r="AD91" s="868"/>
      <c r="AE91" s="868"/>
      <c r="AF91" s="868"/>
      <c r="AG91" s="868"/>
      <c r="AH91" s="868"/>
      <c r="AI91" s="868"/>
      <c r="AJ91" s="868"/>
      <c r="AK91" s="868"/>
      <c r="AL91" s="868"/>
      <c r="AM91" s="868"/>
      <c r="AN91" s="868"/>
      <c r="AO91" s="868"/>
      <c r="AP91" s="868"/>
    </row>
    <row r="92" spans="1:42">
      <c r="A92" s="868"/>
      <c r="B92" s="1181"/>
      <c r="C92" s="1181"/>
      <c r="D92" s="1436" t="s">
        <v>602</v>
      </c>
      <c r="E92" s="1436"/>
      <c r="F92" s="1436"/>
      <c r="G92" s="1436"/>
      <c r="H92" s="1436"/>
      <c r="I92" s="1436"/>
      <c r="J92" s="1436"/>
      <c r="K92" s="1436"/>
      <c r="L92" s="1436"/>
      <c r="M92" s="1436"/>
      <c r="N92" s="1436"/>
      <c r="O92" s="1436"/>
      <c r="P92" s="1436"/>
      <c r="Q92" s="1436"/>
      <c r="R92" s="1436"/>
      <c r="S92" s="868"/>
      <c r="T92" s="286">
        <v>0.99999999999999978</v>
      </c>
      <c r="U92" s="287">
        <v>1</v>
      </c>
      <c r="V92" s="287">
        <v>1</v>
      </c>
      <c r="W92" s="287">
        <v>0.99999999999999978</v>
      </c>
      <c r="X92" s="287">
        <v>0.99999999999999978</v>
      </c>
      <c r="Y92" s="287">
        <v>0.99999999999999989</v>
      </c>
      <c r="Z92" s="287">
        <v>0.99999999999999978</v>
      </c>
      <c r="AA92" s="288">
        <v>0.99999999999999978</v>
      </c>
      <c r="AB92" s="289">
        <v>1</v>
      </c>
      <c r="AC92" s="287">
        <v>0.99999999999999989</v>
      </c>
      <c r="AD92" s="868"/>
      <c r="AE92" s="868"/>
      <c r="AF92" s="868"/>
      <c r="AG92" s="868"/>
      <c r="AH92" s="868"/>
      <c r="AI92" s="868"/>
      <c r="AJ92" s="868"/>
      <c r="AK92" s="868"/>
      <c r="AL92" s="868"/>
      <c r="AM92" s="868"/>
      <c r="AN92" s="868"/>
      <c r="AO92" s="868"/>
      <c r="AP92" s="868"/>
    </row>
    <row r="93" spans="1:42">
      <c r="A93" s="868"/>
      <c r="B93" s="1181"/>
      <c r="C93" s="1181"/>
      <c r="D93" s="1198" t="s">
        <v>546</v>
      </c>
      <c r="E93" s="868"/>
      <c r="F93" s="868"/>
      <c r="G93" s="868"/>
      <c r="H93" s="868"/>
      <c r="I93" s="868"/>
      <c r="J93" s="868"/>
      <c r="K93" s="868"/>
      <c r="L93" s="868"/>
      <c r="M93" s="868"/>
      <c r="N93" s="868"/>
      <c r="O93" s="868"/>
      <c r="P93" s="868"/>
      <c r="Q93" s="868"/>
      <c r="R93" s="868"/>
      <c r="S93" s="868"/>
      <c r="T93" s="868" t="s">
        <v>1216</v>
      </c>
      <c r="U93" s="868" t="s">
        <v>1216</v>
      </c>
      <c r="V93" s="868" t="s">
        <v>1216</v>
      </c>
      <c r="W93" s="868" t="s">
        <v>1216</v>
      </c>
      <c r="X93" s="868" t="s">
        <v>1216</v>
      </c>
      <c r="Y93" s="868" t="s">
        <v>1216</v>
      </c>
      <c r="Z93" s="868" t="s">
        <v>1216</v>
      </c>
      <c r="AA93" s="868" t="s">
        <v>1216</v>
      </c>
      <c r="AB93" s="878" t="s">
        <v>1216</v>
      </c>
      <c r="AC93" s="868" t="s">
        <v>1216</v>
      </c>
      <c r="AD93" s="868"/>
      <c r="AE93" s="868"/>
      <c r="AF93" s="868"/>
      <c r="AG93" s="868"/>
      <c r="AH93" s="868"/>
      <c r="AI93" s="868"/>
      <c r="AJ93" s="868"/>
      <c r="AK93" s="868"/>
      <c r="AL93" s="868"/>
      <c r="AM93" s="868"/>
      <c r="AN93" s="868"/>
      <c r="AO93" s="868"/>
      <c r="AP93" s="868"/>
    </row>
    <row r="94" spans="1:42">
      <c r="A94" s="868"/>
      <c r="B94" s="1181"/>
      <c r="C94" s="1181"/>
      <c r="D94" s="868"/>
      <c r="E94" s="868"/>
      <c r="F94" s="868"/>
      <c r="G94" s="868"/>
      <c r="H94" s="868"/>
      <c r="I94" s="868"/>
      <c r="J94" s="868"/>
      <c r="K94" s="868"/>
      <c r="L94" s="868"/>
      <c r="M94" s="868"/>
      <c r="N94" s="868"/>
      <c r="O94" s="868"/>
      <c r="P94" s="868"/>
      <c r="Q94" s="868"/>
      <c r="R94" s="868"/>
      <c r="S94" s="868"/>
      <c r="T94" s="868"/>
      <c r="U94" s="868"/>
      <c r="V94" s="868"/>
      <c r="W94" s="868"/>
      <c r="X94" s="868"/>
      <c r="Y94" s="868"/>
      <c r="Z94" s="868"/>
      <c r="AA94" s="868"/>
      <c r="AB94" s="878"/>
      <c r="AC94" s="868"/>
      <c r="AD94" s="868"/>
      <c r="AE94" s="868"/>
      <c r="AF94" s="868"/>
      <c r="AG94" s="868"/>
      <c r="AH94" s="868"/>
      <c r="AI94" s="868"/>
      <c r="AJ94" s="868"/>
      <c r="AK94" s="868"/>
      <c r="AL94" s="868"/>
      <c r="AM94" s="868"/>
      <c r="AN94" s="868"/>
      <c r="AO94" s="868"/>
      <c r="AP94" s="868"/>
    </row>
    <row r="95" spans="1:42">
      <c r="A95" s="868"/>
      <c r="B95" s="1181"/>
      <c r="C95" s="1181"/>
      <c r="D95" s="1201" t="s">
        <v>879</v>
      </c>
      <c r="E95" s="1201"/>
      <c r="S95" s="868"/>
      <c r="T95" s="868"/>
      <c r="U95" s="868"/>
      <c r="V95" s="868"/>
      <c r="W95" s="868"/>
      <c r="X95" s="868"/>
      <c r="Y95" s="868"/>
      <c r="Z95" s="868"/>
      <c r="AA95" s="868"/>
      <c r="AB95" s="878"/>
      <c r="AC95" s="868"/>
      <c r="AD95" s="868"/>
      <c r="AE95" s="868"/>
      <c r="AF95" s="868"/>
      <c r="AG95" s="868"/>
      <c r="AH95" s="868"/>
      <c r="AI95" s="868"/>
      <c r="AJ95" s="868"/>
      <c r="AK95" s="868"/>
      <c r="AL95" s="868"/>
      <c r="AM95" s="868"/>
      <c r="AN95" s="868"/>
      <c r="AO95" s="868"/>
      <c r="AP95" s="868"/>
    </row>
    <row r="96" spans="1:42">
      <c r="A96" s="868"/>
      <c r="B96" s="1181"/>
      <c r="C96" s="1181"/>
      <c r="D96" s="1435" t="s">
        <v>874</v>
      </c>
      <c r="E96" s="1435"/>
      <c r="F96" s="1435"/>
      <c r="G96" s="1435"/>
      <c r="H96" s="1435"/>
      <c r="I96" s="1435"/>
      <c r="J96" s="1435"/>
      <c r="K96" s="1435"/>
      <c r="L96" s="1435"/>
      <c r="M96" s="1435"/>
      <c r="N96" s="1435"/>
      <c r="O96" s="1435"/>
      <c r="P96" s="1435"/>
      <c r="Q96" s="1435"/>
      <c r="R96" s="1435"/>
      <c r="S96" s="868"/>
      <c r="T96" s="874">
        <v>0.53892891422856715</v>
      </c>
      <c r="U96" s="874">
        <v>0.54420773702585812</v>
      </c>
      <c r="V96" s="874">
        <v>0.61628357074414553</v>
      </c>
      <c r="W96" s="874">
        <v>0.60975169870024948</v>
      </c>
      <c r="X96" s="874">
        <v>0.71915242626143427</v>
      </c>
      <c r="Y96" s="874">
        <v>0.71771050923817137</v>
      </c>
      <c r="Z96" s="874">
        <v>0.71602148237148844</v>
      </c>
      <c r="AA96" s="874">
        <v>0.67661793315306562</v>
      </c>
      <c r="AB96" s="874">
        <v>0.67491182697886942</v>
      </c>
      <c r="AC96" s="874">
        <v>0.69616580394995398</v>
      </c>
      <c r="AD96" s="868"/>
      <c r="AE96" s="868"/>
      <c r="AF96" s="868"/>
      <c r="AG96" s="868"/>
      <c r="AH96" s="868"/>
      <c r="AI96" s="868"/>
      <c r="AJ96" s="868"/>
      <c r="AK96" s="868"/>
      <c r="AL96" s="868"/>
      <c r="AM96" s="868"/>
      <c r="AN96" s="868"/>
      <c r="AO96" s="868"/>
      <c r="AP96" s="868"/>
    </row>
    <row r="97" spans="1:42">
      <c r="A97" s="868"/>
      <c r="B97" s="1181"/>
      <c r="C97" s="1181"/>
      <c r="D97" s="1435" t="s">
        <v>875</v>
      </c>
      <c r="E97" s="1435"/>
      <c r="F97" s="1435"/>
      <c r="G97" s="1435"/>
      <c r="H97" s="1435"/>
      <c r="I97" s="1435"/>
      <c r="J97" s="1435"/>
      <c r="K97" s="1435"/>
      <c r="L97" s="1435"/>
      <c r="M97" s="1435"/>
      <c r="N97" s="1435"/>
      <c r="O97" s="1435"/>
      <c r="P97" s="1435"/>
      <c r="Q97" s="1435"/>
      <c r="R97" s="1435"/>
      <c r="S97" s="868"/>
      <c r="T97" s="874">
        <v>0.10042153681277648</v>
      </c>
      <c r="U97" s="874">
        <v>9.4611915338292413E-2</v>
      </c>
      <c r="V97" s="874">
        <v>0</v>
      </c>
      <c r="W97" s="874">
        <v>0</v>
      </c>
      <c r="X97" s="874">
        <v>0</v>
      </c>
      <c r="Y97" s="874">
        <v>0</v>
      </c>
      <c r="Z97" s="874">
        <v>0</v>
      </c>
      <c r="AA97" s="874">
        <v>0</v>
      </c>
      <c r="AB97" s="874">
        <v>0</v>
      </c>
      <c r="AC97" s="874">
        <v>0</v>
      </c>
      <c r="AD97" s="868"/>
      <c r="AE97" s="868"/>
      <c r="AF97" s="868"/>
      <c r="AG97" s="868"/>
      <c r="AH97" s="868"/>
      <c r="AI97" s="868"/>
      <c r="AJ97" s="868"/>
      <c r="AK97" s="868"/>
      <c r="AL97" s="868"/>
      <c r="AM97" s="868"/>
      <c r="AN97" s="868"/>
      <c r="AO97" s="868"/>
      <c r="AP97" s="868"/>
    </row>
    <row r="98" spans="1:42">
      <c r="A98" s="868"/>
      <c r="B98" s="1181"/>
      <c r="C98" s="1181"/>
      <c r="D98" s="1435" t="s">
        <v>876</v>
      </c>
      <c r="E98" s="1435"/>
      <c r="F98" s="1435"/>
      <c r="G98" s="1435"/>
      <c r="H98" s="1435"/>
      <c r="I98" s="1435"/>
      <c r="J98" s="1435"/>
      <c r="K98" s="1435"/>
      <c r="L98" s="1435"/>
      <c r="M98" s="1435"/>
      <c r="N98" s="1435"/>
      <c r="O98" s="1435"/>
      <c r="P98" s="1435"/>
      <c r="Q98" s="1435"/>
      <c r="R98" s="1435"/>
      <c r="S98" s="868"/>
      <c r="T98" s="874">
        <v>0.17989078269565867</v>
      </c>
      <c r="U98" s="874">
        <v>0.19087890002692323</v>
      </c>
      <c r="V98" s="874">
        <v>0.21089074988223677</v>
      </c>
      <c r="W98" s="874">
        <v>0.21722364691292176</v>
      </c>
      <c r="X98" s="874">
        <v>7.6779097552977293E-2</v>
      </c>
      <c r="Y98" s="874">
        <v>7.86301765271398E-2</v>
      </c>
      <c r="Z98" s="874">
        <v>8.0798485846796275E-2</v>
      </c>
      <c r="AA98" s="874">
        <v>8.4263163769280294E-2</v>
      </c>
      <c r="AB98" s="874">
        <v>8.6572213224933539E-2</v>
      </c>
      <c r="AC98" s="874">
        <v>9.1977455973652936E-2</v>
      </c>
      <c r="AD98" s="868"/>
      <c r="AE98" s="868"/>
      <c r="AF98" s="868"/>
      <c r="AG98" s="868"/>
      <c r="AH98" s="868"/>
      <c r="AI98" s="868"/>
      <c r="AJ98" s="868"/>
      <c r="AK98" s="868"/>
      <c r="AL98" s="868"/>
      <c r="AM98" s="868"/>
      <c r="AN98" s="868"/>
      <c r="AO98" s="868"/>
      <c r="AP98" s="868"/>
    </row>
    <row r="99" spans="1:42">
      <c r="A99" s="868"/>
      <c r="B99" s="1181"/>
      <c r="C99" s="1181"/>
      <c r="D99" s="1435" t="s">
        <v>877</v>
      </c>
      <c r="E99" s="1435"/>
      <c r="F99" s="1435"/>
      <c r="G99" s="1435"/>
      <c r="H99" s="1435"/>
      <c r="I99" s="1435"/>
      <c r="J99" s="1435"/>
      <c r="K99" s="1435"/>
      <c r="L99" s="1435"/>
      <c r="M99" s="1435"/>
      <c r="N99" s="1435"/>
      <c r="O99" s="1435"/>
      <c r="P99" s="1435"/>
      <c r="Q99" s="1435"/>
      <c r="R99" s="1435"/>
      <c r="S99" s="868"/>
      <c r="T99" s="874">
        <v>0.18075876626299767</v>
      </c>
      <c r="U99" s="874">
        <v>0.17030144760892635</v>
      </c>
      <c r="V99" s="874">
        <v>0.17282567937361787</v>
      </c>
      <c r="W99" s="874">
        <v>0.1730246543868286</v>
      </c>
      <c r="X99" s="874">
        <v>0.20406847618558832</v>
      </c>
      <c r="Y99" s="874">
        <v>0.20365931423468872</v>
      </c>
      <c r="Z99" s="874">
        <v>0.20318003178171509</v>
      </c>
      <c r="AA99" s="874">
        <v>0.2391189030776541</v>
      </c>
      <c r="AB99" s="874">
        <v>0.2385159597961973</v>
      </c>
      <c r="AC99" s="874">
        <v>0.21185674007639305</v>
      </c>
      <c r="AD99" s="868"/>
      <c r="AE99" s="868"/>
      <c r="AF99" s="868"/>
      <c r="AG99" s="868"/>
      <c r="AH99" s="868"/>
      <c r="AI99" s="868"/>
      <c r="AJ99" s="868"/>
      <c r="AK99" s="868"/>
      <c r="AL99" s="868"/>
      <c r="AM99" s="868"/>
      <c r="AN99" s="868"/>
      <c r="AO99" s="868"/>
      <c r="AP99" s="868"/>
    </row>
    <row r="100" spans="1:42">
      <c r="A100" s="868"/>
      <c r="B100" s="1181"/>
      <c r="C100" s="1181"/>
      <c r="D100" s="1203"/>
      <c r="E100" s="1203"/>
      <c r="F100" s="1203"/>
      <c r="G100" s="1203"/>
      <c r="H100" s="1203"/>
      <c r="I100" s="1203"/>
      <c r="J100" s="1203"/>
      <c r="K100" s="1203"/>
      <c r="L100" s="1203"/>
      <c r="M100" s="1203"/>
      <c r="N100" s="1203"/>
      <c r="O100" s="1203"/>
      <c r="P100" s="1203"/>
      <c r="Q100" s="1203"/>
      <c r="R100" s="1203"/>
      <c r="S100" s="868"/>
      <c r="T100" s="875">
        <v>0</v>
      </c>
      <c r="U100" s="876">
        <v>0</v>
      </c>
      <c r="V100" s="876">
        <v>0</v>
      </c>
      <c r="W100" s="876">
        <v>0</v>
      </c>
      <c r="X100" s="876">
        <v>0</v>
      </c>
      <c r="Y100" s="876">
        <v>0</v>
      </c>
      <c r="Z100" s="876">
        <v>0</v>
      </c>
      <c r="AA100" s="877">
        <v>0</v>
      </c>
      <c r="AB100" s="876">
        <v>0</v>
      </c>
      <c r="AC100" s="876">
        <v>0</v>
      </c>
      <c r="AD100" s="868"/>
      <c r="AE100" s="868"/>
      <c r="AF100" s="868"/>
      <c r="AG100" s="868"/>
      <c r="AH100" s="868"/>
      <c r="AI100" s="868"/>
      <c r="AJ100" s="868"/>
      <c r="AK100" s="868"/>
      <c r="AL100" s="868"/>
      <c r="AM100" s="868"/>
      <c r="AN100" s="868"/>
      <c r="AO100" s="868"/>
      <c r="AP100" s="868"/>
    </row>
    <row r="101" spans="1:42">
      <c r="A101" s="868"/>
      <c r="B101" s="1181"/>
      <c r="C101" s="1181"/>
      <c r="D101" s="1436" t="s">
        <v>602</v>
      </c>
      <c r="E101" s="1436"/>
      <c r="F101" s="1436"/>
      <c r="G101" s="1436"/>
      <c r="H101" s="1436"/>
      <c r="I101" s="1436"/>
      <c r="J101" s="1436"/>
      <c r="K101" s="1436"/>
      <c r="L101" s="1436"/>
      <c r="M101" s="1436"/>
      <c r="N101" s="1436"/>
      <c r="O101" s="1436"/>
      <c r="P101" s="1436"/>
      <c r="Q101" s="1436"/>
      <c r="R101" s="1436"/>
      <c r="S101" s="868"/>
      <c r="T101" s="286">
        <v>1</v>
      </c>
      <c r="U101" s="287">
        <v>1</v>
      </c>
      <c r="V101" s="287">
        <v>1.0000000000000002</v>
      </c>
      <c r="W101" s="287">
        <v>0.99999999999999978</v>
      </c>
      <c r="X101" s="287">
        <v>0.99999999999999989</v>
      </c>
      <c r="Y101" s="287">
        <v>0.99999999999999989</v>
      </c>
      <c r="Z101" s="287">
        <v>0.99999999999999978</v>
      </c>
      <c r="AA101" s="288">
        <v>1</v>
      </c>
      <c r="AB101" s="289">
        <v>1.0000000000000002</v>
      </c>
      <c r="AC101" s="287">
        <v>1</v>
      </c>
      <c r="AD101" s="868"/>
      <c r="AE101" s="868"/>
      <c r="AF101" s="868"/>
      <c r="AG101" s="868"/>
      <c r="AH101" s="868"/>
      <c r="AI101" s="868"/>
      <c r="AJ101" s="868"/>
      <c r="AK101" s="868"/>
      <c r="AL101" s="868"/>
      <c r="AM101" s="868"/>
      <c r="AN101" s="868"/>
      <c r="AO101" s="868"/>
      <c r="AP101" s="868"/>
    </row>
    <row r="102" spans="1:42">
      <c r="A102" s="868"/>
      <c r="B102" s="1181"/>
      <c r="C102" s="1181"/>
      <c r="D102" s="1198" t="s">
        <v>546</v>
      </c>
      <c r="E102" s="868"/>
      <c r="F102" s="868"/>
      <c r="G102" s="868"/>
      <c r="H102" s="868"/>
      <c r="I102" s="868"/>
      <c r="J102" s="868"/>
      <c r="K102" s="868"/>
      <c r="L102" s="868"/>
      <c r="M102" s="868"/>
      <c r="N102" s="868"/>
      <c r="O102" s="868"/>
      <c r="P102" s="868"/>
      <c r="Q102" s="868"/>
      <c r="R102" s="868"/>
      <c r="S102" s="868"/>
      <c r="T102" s="868" t="s">
        <v>1216</v>
      </c>
      <c r="U102" s="868" t="s">
        <v>1216</v>
      </c>
      <c r="V102" s="868" t="s">
        <v>1216</v>
      </c>
      <c r="W102" s="868" t="s">
        <v>1216</v>
      </c>
      <c r="X102" s="868" t="s">
        <v>1216</v>
      </c>
      <c r="Y102" s="868" t="s">
        <v>1216</v>
      </c>
      <c r="Z102" s="868" t="s">
        <v>1216</v>
      </c>
      <c r="AA102" s="868" t="s">
        <v>1216</v>
      </c>
      <c r="AB102" s="878" t="s">
        <v>1216</v>
      </c>
      <c r="AC102" s="868" t="s">
        <v>1216</v>
      </c>
      <c r="AD102" s="868"/>
      <c r="AE102" s="868"/>
      <c r="AF102" s="868"/>
      <c r="AG102" s="868"/>
      <c r="AH102" s="868"/>
      <c r="AI102" s="868"/>
      <c r="AJ102" s="868"/>
      <c r="AK102" s="868"/>
      <c r="AL102" s="868"/>
      <c r="AM102" s="868"/>
      <c r="AN102" s="868"/>
      <c r="AO102" s="868"/>
      <c r="AP102" s="868"/>
    </row>
    <row r="103" spans="1:42">
      <c r="A103" s="868"/>
      <c r="B103" s="1181"/>
      <c r="C103" s="1181"/>
      <c r="D103" s="868"/>
      <c r="E103" s="868"/>
      <c r="F103" s="868"/>
      <c r="G103" s="868"/>
      <c r="H103" s="868"/>
      <c r="I103" s="868"/>
      <c r="J103" s="868"/>
      <c r="K103" s="868"/>
      <c r="L103" s="868"/>
      <c r="M103" s="868"/>
      <c r="N103" s="868"/>
      <c r="O103" s="868"/>
      <c r="P103" s="868"/>
      <c r="Q103" s="868"/>
      <c r="R103" s="868"/>
      <c r="S103" s="868"/>
      <c r="T103" s="868"/>
      <c r="U103" s="868"/>
      <c r="V103" s="868"/>
      <c r="W103" s="868"/>
      <c r="X103" s="868"/>
      <c r="Y103" s="868"/>
      <c r="Z103" s="868"/>
      <c r="AA103" s="868"/>
      <c r="AB103" s="878"/>
      <c r="AC103" s="868"/>
      <c r="AD103" s="868"/>
      <c r="AE103" s="868"/>
      <c r="AF103" s="868"/>
      <c r="AG103" s="868"/>
      <c r="AH103" s="868"/>
      <c r="AI103" s="868"/>
      <c r="AJ103" s="868"/>
      <c r="AK103" s="868"/>
      <c r="AL103" s="868"/>
      <c r="AM103" s="868"/>
      <c r="AN103" s="868"/>
      <c r="AO103" s="868"/>
      <c r="AP103" s="868"/>
    </row>
    <row r="104" spans="1:42">
      <c r="A104" s="868"/>
      <c r="B104" s="1181"/>
      <c r="C104" s="1181"/>
      <c r="D104" s="1201" t="s">
        <v>880</v>
      </c>
      <c r="E104" s="1201"/>
      <c r="S104" s="868"/>
      <c r="T104" s="1190" t="s">
        <v>484</v>
      </c>
      <c r="U104" s="1191" t="s">
        <v>484</v>
      </c>
      <c r="V104" s="1191" t="s">
        <v>484</v>
      </c>
      <c r="W104" s="1191" t="s">
        <v>484</v>
      </c>
      <c r="X104" s="1191" t="s">
        <v>484</v>
      </c>
      <c r="Y104" s="1191" t="s">
        <v>484</v>
      </c>
      <c r="Z104" s="1191" t="s">
        <v>484</v>
      </c>
      <c r="AA104" s="1192" t="s">
        <v>484</v>
      </c>
      <c r="AB104" s="1193" t="s">
        <v>484</v>
      </c>
      <c r="AC104" s="1191" t="s">
        <v>484</v>
      </c>
      <c r="AD104" s="868"/>
      <c r="AE104" s="868"/>
      <c r="AF104" s="868"/>
      <c r="AG104" s="868"/>
      <c r="AH104" s="868"/>
      <c r="AI104" s="868"/>
      <c r="AJ104" s="868"/>
      <c r="AK104" s="868"/>
      <c r="AL104" s="868"/>
      <c r="AM104" s="868"/>
      <c r="AN104" s="868"/>
      <c r="AO104" s="868"/>
      <c r="AP104" s="868"/>
    </row>
    <row r="105" spans="1:42">
      <c r="A105" s="868"/>
      <c r="B105" s="1181"/>
      <c r="C105" s="1181"/>
      <c r="D105" s="1435" t="s">
        <v>881</v>
      </c>
      <c r="E105" s="1435"/>
      <c r="F105" s="1435"/>
      <c r="G105" s="1435"/>
      <c r="H105" s="1435"/>
      <c r="I105" s="1435"/>
      <c r="J105" s="1435"/>
      <c r="K105" s="1435"/>
      <c r="L105" s="1435"/>
      <c r="M105" s="1435"/>
      <c r="N105" s="1435"/>
      <c r="O105" s="1435"/>
      <c r="P105" s="1435"/>
      <c r="Q105" s="1435"/>
      <c r="R105" s="1435"/>
      <c r="S105" s="868"/>
      <c r="T105" s="879">
        <v>1</v>
      </c>
      <c r="U105" s="879">
        <v>0.96354287528964455</v>
      </c>
      <c r="V105" s="879">
        <v>0.96300250271186993</v>
      </c>
      <c r="W105" s="879">
        <v>0.96295990732015291</v>
      </c>
      <c r="X105" s="879">
        <v>0.95631422991286286</v>
      </c>
      <c r="Y105" s="879">
        <v>0.956401820878648</v>
      </c>
      <c r="Z105" s="879">
        <v>0.95650442282598824</v>
      </c>
      <c r="AA105" s="879">
        <v>0.94881084223004275</v>
      </c>
      <c r="AB105" s="879">
        <v>0.94893991675473999</v>
      </c>
      <c r="AC105" s="879">
        <v>0.94733195881111609</v>
      </c>
      <c r="AD105" s="868"/>
      <c r="AE105" s="868"/>
      <c r="AF105" s="868"/>
      <c r="AG105" s="868"/>
      <c r="AH105" s="868"/>
      <c r="AI105" s="868"/>
      <c r="AJ105" s="868"/>
      <c r="AK105" s="868"/>
      <c r="AL105" s="868"/>
      <c r="AM105" s="868"/>
      <c r="AN105" s="868"/>
      <c r="AO105" s="868"/>
      <c r="AP105" s="868"/>
    </row>
    <row r="106" spans="1:42">
      <c r="A106" s="868"/>
      <c r="B106" s="1181"/>
      <c r="C106" s="1181"/>
      <c r="D106" s="1435" t="s">
        <v>882</v>
      </c>
      <c r="E106" s="1435"/>
      <c r="F106" s="1435"/>
      <c r="G106" s="1435"/>
      <c r="H106" s="1435"/>
      <c r="I106" s="1435"/>
      <c r="J106" s="1435"/>
      <c r="K106" s="1435"/>
      <c r="L106" s="1435"/>
      <c r="M106" s="1435"/>
      <c r="N106" s="1435"/>
      <c r="O106" s="1435"/>
      <c r="P106" s="1435"/>
      <c r="Q106" s="1435"/>
      <c r="R106" s="1435"/>
      <c r="S106" s="868"/>
      <c r="T106" s="879">
        <v>0</v>
      </c>
      <c r="U106" s="879">
        <v>3.6457124710355344E-2</v>
      </c>
      <c r="V106" s="879">
        <v>3.6997497288130045E-2</v>
      </c>
      <c r="W106" s="879">
        <v>3.7040092679847009E-2</v>
      </c>
      <c r="X106" s="879">
        <v>4.3685770087137053E-2</v>
      </c>
      <c r="Y106" s="879">
        <v>4.3598179121351881E-2</v>
      </c>
      <c r="Z106" s="879">
        <v>4.3495577174011597E-2</v>
      </c>
      <c r="AA106" s="879">
        <v>5.1189157769957049E-2</v>
      </c>
      <c r="AB106" s="879">
        <v>5.1060083245259999E-2</v>
      </c>
      <c r="AC106" s="879">
        <v>5.2668041188883949E-2</v>
      </c>
      <c r="AD106" s="868"/>
      <c r="AE106" s="868"/>
      <c r="AF106" s="868"/>
      <c r="AG106" s="868"/>
      <c r="AH106" s="868"/>
      <c r="AI106" s="868"/>
      <c r="AJ106" s="868"/>
      <c r="AK106" s="868"/>
      <c r="AL106" s="868"/>
      <c r="AM106" s="868"/>
      <c r="AN106" s="868"/>
      <c r="AO106" s="868"/>
      <c r="AP106" s="868"/>
    </row>
    <row r="107" spans="1:42">
      <c r="A107" s="868"/>
      <c r="B107" s="1181"/>
      <c r="C107" s="1181"/>
      <c r="D107" s="1436" t="s">
        <v>602</v>
      </c>
      <c r="E107" s="1436"/>
      <c r="F107" s="1436"/>
      <c r="G107" s="1436"/>
      <c r="H107" s="1436"/>
      <c r="I107" s="1436"/>
      <c r="J107" s="1436"/>
      <c r="K107" s="1436"/>
      <c r="L107" s="1436"/>
      <c r="M107" s="1436"/>
      <c r="N107" s="1436"/>
      <c r="O107" s="1436"/>
      <c r="P107" s="1436"/>
      <c r="Q107" s="1436"/>
      <c r="R107" s="1436"/>
      <c r="S107" s="868"/>
      <c r="T107" s="286">
        <v>1</v>
      </c>
      <c r="U107" s="287">
        <v>0.99999999999999989</v>
      </c>
      <c r="V107" s="287">
        <v>1</v>
      </c>
      <c r="W107" s="287">
        <v>0.99999999999999989</v>
      </c>
      <c r="X107" s="287">
        <v>0.99999999999999989</v>
      </c>
      <c r="Y107" s="287">
        <v>0.99999999999999989</v>
      </c>
      <c r="Z107" s="287">
        <v>0.99999999999999989</v>
      </c>
      <c r="AA107" s="288">
        <v>0.99999999999999978</v>
      </c>
      <c r="AB107" s="289">
        <v>1</v>
      </c>
      <c r="AC107" s="287">
        <v>1</v>
      </c>
      <c r="AD107" s="868"/>
      <c r="AE107" s="868"/>
      <c r="AF107" s="868"/>
      <c r="AG107" s="868"/>
      <c r="AH107" s="868"/>
      <c r="AI107" s="868"/>
      <c r="AJ107" s="868"/>
      <c r="AK107" s="868"/>
      <c r="AL107" s="868"/>
      <c r="AM107" s="868"/>
      <c r="AN107" s="868"/>
      <c r="AO107" s="868"/>
      <c r="AP107" s="868"/>
    </row>
    <row r="108" spans="1:42">
      <c r="A108" s="868"/>
      <c r="B108" s="1181"/>
      <c r="C108" s="1181"/>
      <c r="D108" s="1198" t="s">
        <v>546</v>
      </c>
      <c r="E108" s="868"/>
      <c r="F108" s="868"/>
      <c r="G108" s="868"/>
      <c r="H108" s="868"/>
      <c r="I108" s="868"/>
      <c r="J108" s="868"/>
      <c r="K108" s="868"/>
      <c r="L108" s="868"/>
      <c r="M108" s="868"/>
      <c r="N108" s="868"/>
      <c r="O108" s="868"/>
      <c r="P108" s="868"/>
      <c r="Q108" s="868"/>
      <c r="R108" s="868"/>
      <c r="S108" s="868"/>
      <c r="T108" s="868" t="s">
        <v>1216</v>
      </c>
      <c r="U108" s="868" t="s">
        <v>1216</v>
      </c>
      <c r="V108" s="868" t="s">
        <v>1216</v>
      </c>
      <c r="W108" s="868" t="s">
        <v>1216</v>
      </c>
      <c r="X108" s="868" t="s">
        <v>1216</v>
      </c>
      <c r="Y108" s="868" t="s">
        <v>1216</v>
      </c>
      <c r="Z108" s="868" t="s">
        <v>1216</v>
      </c>
      <c r="AA108" s="868" t="s">
        <v>1216</v>
      </c>
      <c r="AB108" s="878" t="s">
        <v>1216</v>
      </c>
      <c r="AC108" s="868" t="s">
        <v>1216</v>
      </c>
      <c r="AD108" s="868"/>
      <c r="AE108" s="868"/>
      <c r="AF108" s="868"/>
      <c r="AG108" s="868"/>
      <c r="AH108" s="868"/>
      <c r="AI108" s="868"/>
      <c r="AJ108" s="868"/>
      <c r="AK108" s="868"/>
      <c r="AL108" s="868"/>
      <c r="AM108" s="868"/>
      <c r="AN108" s="868"/>
      <c r="AO108" s="868"/>
      <c r="AP108" s="868"/>
    </row>
    <row r="109" spans="1:42">
      <c r="A109" s="868"/>
      <c r="B109" s="1181"/>
      <c r="C109" s="1181"/>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8"/>
      <c r="AA109" s="868"/>
      <c r="AB109" s="878"/>
      <c r="AC109" s="868"/>
      <c r="AD109" s="868"/>
      <c r="AE109" s="868"/>
      <c r="AF109" s="868"/>
      <c r="AG109" s="868"/>
      <c r="AH109" s="868"/>
      <c r="AI109" s="868"/>
      <c r="AJ109" s="868"/>
      <c r="AK109" s="868"/>
      <c r="AL109" s="868"/>
      <c r="AM109" s="868"/>
      <c r="AN109" s="868"/>
      <c r="AO109" s="868"/>
      <c r="AP109" s="868"/>
    </row>
    <row r="110" spans="1:42">
      <c r="A110" s="868"/>
      <c r="B110" s="1181"/>
      <c r="C110" s="1181"/>
      <c r="D110" s="1201" t="s">
        <v>883</v>
      </c>
      <c r="E110" s="1201"/>
      <c r="S110" s="868"/>
      <c r="T110" s="1204"/>
      <c r="U110" s="868"/>
      <c r="V110" s="868"/>
      <c r="W110" s="868"/>
      <c r="X110" s="868"/>
      <c r="Y110" s="868"/>
      <c r="Z110" s="868"/>
      <c r="AA110" s="868"/>
      <c r="AB110" s="878"/>
      <c r="AC110" s="868"/>
      <c r="AD110" s="868"/>
      <c r="AE110" s="868"/>
      <c r="AF110" s="868"/>
      <c r="AG110" s="868"/>
      <c r="AH110" s="868"/>
      <c r="AI110" s="868"/>
      <c r="AJ110" s="868"/>
      <c r="AK110" s="868"/>
      <c r="AL110" s="868"/>
      <c r="AM110" s="868"/>
      <c r="AN110" s="868"/>
      <c r="AO110" s="868"/>
      <c r="AP110" s="868"/>
    </row>
    <row r="111" spans="1:42" ht="12.75" customHeight="1">
      <c r="A111" s="868"/>
      <c r="B111" s="1181"/>
      <c r="C111" s="1181"/>
      <c r="D111" s="1435" t="s">
        <v>881</v>
      </c>
      <c r="E111" s="1435"/>
      <c r="F111" s="1435"/>
      <c r="G111" s="1435"/>
      <c r="H111" s="1435"/>
      <c r="I111" s="1435"/>
      <c r="J111" s="1435"/>
      <c r="K111" s="1435"/>
      <c r="L111" s="1435"/>
      <c r="M111" s="1435"/>
      <c r="N111" s="1435"/>
      <c r="O111" s="1435"/>
      <c r="P111" s="1435"/>
      <c r="Q111" s="1435"/>
      <c r="R111" s="1435"/>
      <c r="S111" s="868"/>
      <c r="T111" s="879">
        <v>1</v>
      </c>
      <c r="U111" s="879">
        <v>1.0000021875599392</v>
      </c>
      <c r="V111" s="879">
        <v>1.0000022199842575</v>
      </c>
      <c r="W111" s="879">
        <v>1.0000022225401355</v>
      </c>
      <c r="X111" s="879">
        <v>1.0000026213049251</v>
      </c>
      <c r="Y111" s="879">
        <v>1.0000026160491489</v>
      </c>
      <c r="Z111" s="879">
        <v>1.0000026098926593</v>
      </c>
      <c r="AA111" s="879">
        <v>1.0000030715354475</v>
      </c>
      <c r="AB111" s="879">
        <v>1.0000030637905073</v>
      </c>
      <c r="AC111" s="879">
        <v>1.0000031602738257</v>
      </c>
      <c r="AD111" s="868"/>
      <c r="AE111" s="868"/>
      <c r="AF111" s="868"/>
      <c r="AG111" s="868"/>
      <c r="AH111" s="868"/>
      <c r="AI111" s="868"/>
      <c r="AJ111" s="868"/>
      <c r="AK111" s="868"/>
      <c r="AL111" s="868"/>
      <c r="AM111" s="868"/>
      <c r="AN111" s="868"/>
      <c r="AO111" s="868"/>
      <c r="AP111" s="868"/>
    </row>
    <row r="112" spans="1:42" ht="12.75" customHeight="1">
      <c r="A112" s="868"/>
      <c r="B112" s="1181"/>
      <c r="C112" s="1181"/>
      <c r="D112" s="1435" t="s">
        <v>882</v>
      </c>
      <c r="E112" s="1435"/>
      <c r="F112" s="1435"/>
      <c r="G112" s="1435"/>
      <c r="H112" s="1435"/>
      <c r="I112" s="1435"/>
      <c r="J112" s="1435"/>
      <c r="K112" s="1435"/>
      <c r="L112" s="1435"/>
      <c r="M112" s="1435"/>
      <c r="N112" s="1435"/>
      <c r="O112" s="1435"/>
      <c r="P112" s="1435"/>
      <c r="Q112" s="1435"/>
      <c r="R112" s="1435"/>
      <c r="S112" s="868"/>
      <c r="T112" s="879">
        <v>0</v>
      </c>
      <c r="U112" s="879">
        <v>-2.1875599393057874E-6</v>
      </c>
      <c r="V112" s="879">
        <v>-2.2199842572636867E-6</v>
      </c>
      <c r="W112" s="879">
        <v>-2.2225401355250515E-6</v>
      </c>
      <c r="X112" s="879">
        <v>-2.6213049251577321E-6</v>
      </c>
      <c r="Y112" s="879">
        <v>-2.6160491489735416E-6</v>
      </c>
      <c r="Z112" s="879">
        <v>-2.6098926593578752E-6</v>
      </c>
      <c r="AA112" s="879">
        <v>-3.0715354475706868E-6</v>
      </c>
      <c r="AB112" s="879">
        <v>-3.0637905071329678E-6</v>
      </c>
      <c r="AC112" s="879">
        <v>-3.1602738258122689E-6</v>
      </c>
      <c r="AD112" s="868"/>
      <c r="AE112" s="868"/>
      <c r="AF112" s="868"/>
      <c r="AG112" s="868"/>
      <c r="AH112" s="868"/>
      <c r="AI112" s="868"/>
      <c r="AJ112" s="868"/>
      <c r="AK112" s="868"/>
      <c r="AL112" s="868"/>
      <c r="AM112" s="868"/>
      <c r="AN112" s="868"/>
      <c r="AO112" s="868"/>
      <c r="AP112" s="868"/>
    </row>
    <row r="113" spans="1:42">
      <c r="A113" s="868"/>
      <c r="B113" s="1181"/>
      <c r="C113" s="1181"/>
      <c r="D113" s="1436" t="s">
        <v>602</v>
      </c>
      <c r="E113" s="1436"/>
      <c r="F113" s="1436"/>
      <c r="G113" s="1436"/>
      <c r="H113" s="1436"/>
      <c r="I113" s="1436"/>
      <c r="J113" s="1436"/>
      <c r="K113" s="1436"/>
      <c r="L113" s="1436"/>
      <c r="M113" s="1436"/>
      <c r="N113" s="1436"/>
      <c r="O113" s="1436"/>
      <c r="P113" s="1436"/>
      <c r="Q113" s="1436"/>
      <c r="R113" s="1436"/>
      <c r="S113" s="868"/>
      <c r="T113" s="286">
        <v>1</v>
      </c>
      <c r="U113" s="287">
        <v>0.99999999999999989</v>
      </c>
      <c r="V113" s="287">
        <v>1.0000000000000002</v>
      </c>
      <c r="W113" s="287">
        <v>1</v>
      </c>
      <c r="X113" s="287">
        <v>1</v>
      </c>
      <c r="Y113" s="287">
        <v>0.99999999999999989</v>
      </c>
      <c r="Z113" s="287">
        <v>1</v>
      </c>
      <c r="AA113" s="288">
        <v>1</v>
      </c>
      <c r="AB113" s="289">
        <v>1.0000000000000002</v>
      </c>
      <c r="AC113" s="287">
        <v>0.99999999999999989</v>
      </c>
      <c r="AD113" s="868"/>
      <c r="AE113" s="868"/>
      <c r="AF113" s="868"/>
      <c r="AG113" s="868"/>
      <c r="AH113" s="868"/>
      <c r="AI113" s="868"/>
      <c r="AJ113" s="868"/>
      <c r="AK113" s="868"/>
      <c r="AL113" s="868"/>
      <c r="AM113" s="868"/>
      <c r="AN113" s="868"/>
      <c r="AO113" s="868"/>
      <c r="AP113" s="868"/>
    </row>
    <row r="114" spans="1:42">
      <c r="A114" s="868"/>
      <c r="B114" s="1181"/>
      <c r="C114" s="1181"/>
      <c r="D114" s="1198" t="s">
        <v>546</v>
      </c>
      <c r="E114" s="868"/>
      <c r="F114" s="868"/>
      <c r="G114" s="868"/>
      <c r="H114" s="868"/>
      <c r="I114" s="868"/>
      <c r="J114" s="868"/>
      <c r="K114" s="868"/>
      <c r="L114" s="868"/>
      <c r="M114" s="868"/>
      <c r="N114" s="868"/>
      <c r="O114" s="868"/>
      <c r="P114" s="868"/>
      <c r="Q114" s="868"/>
      <c r="R114" s="868"/>
      <c r="S114" s="868"/>
      <c r="T114" s="868" t="s">
        <v>1216</v>
      </c>
      <c r="U114" s="868" t="s">
        <v>1216</v>
      </c>
      <c r="V114" s="868" t="s">
        <v>1216</v>
      </c>
      <c r="W114" s="868" t="s">
        <v>1216</v>
      </c>
      <c r="X114" s="868" t="s">
        <v>1216</v>
      </c>
      <c r="Y114" s="868" t="s">
        <v>1216</v>
      </c>
      <c r="Z114" s="868" t="s">
        <v>1216</v>
      </c>
      <c r="AA114" s="868" t="s">
        <v>1216</v>
      </c>
      <c r="AB114" s="878" t="s">
        <v>1216</v>
      </c>
      <c r="AC114" s="868" t="s">
        <v>1216</v>
      </c>
      <c r="AD114" s="868"/>
      <c r="AE114" s="868"/>
      <c r="AF114" s="868"/>
      <c r="AG114" s="868"/>
      <c r="AH114" s="868"/>
      <c r="AI114" s="868"/>
      <c r="AJ114" s="868"/>
      <c r="AK114" s="868"/>
      <c r="AL114" s="868"/>
      <c r="AM114" s="868"/>
      <c r="AN114" s="868"/>
      <c r="AO114" s="868"/>
      <c r="AP114" s="868"/>
    </row>
    <row r="115" spans="1:42">
      <c r="A115" s="868"/>
      <c r="B115" s="1181"/>
      <c r="C115" s="1181"/>
      <c r="D115" s="1198"/>
      <c r="E115" s="868"/>
      <c r="F115" s="868"/>
      <c r="G115" s="868"/>
      <c r="H115" s="868"/>
      <c r="I115" s="868"/>
      <c r="J115" s="868"/>
      <c r="K115" s="868"/>
      <c r="L115" s="868"/>
      <c r="M115" s="868"/>
      <c r="N115" s="868"/>
      <c r="O115" s="868"/>
      <c r="P115" s="868"/>
      <c r="Q115" s="868"/>
      <c r="R115" s="868"/>
      <c r="S115" s="868"/>
      <c r="T115" s="868"/>
      <c r="U115" s="868"/>
      <c r="V115" s="868"/>
      <c r="W115" s="868"/>
      <c r="X115" s="868"/>
      <c r="Y115" s="868"/>
      <c r="Z115" s="868"/>
      <c r="AA115" s="868"/>
      <c r="AB115" s="868"/>
      <c r="AC115" s="868"/>
      <c r="AD115" s="868"/>
      <c r="AE115" s="868"/>
      <c r="AF115" s="868"/>
      <c r="AG115" s="868"/>
      <c r="AH115" s="868"/>
      <c r="AI115" s="868"/>
      <c r="AJ115" s="868"/>
      <c r="AK115" s="868"/>
      <c r="AL115" s="868"/>
      <c r="AM115" s="868"/>
      <c r="AN115" s="868"/>
      <c r="AO115" s="868"/>
      <c r="AP115" s="868"/>
    </row>
    <row r="116" spans="1:42">
      <c r="A116" s="868"/>
      <c r="B116" s="1181"/>
      <c r="C116" s="1181"/>
      <c r="D116" s="119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8"/>
      <c r="AA116" s="868"/>
      <c r="AB116" s="868"/>
      <c r="AC116" s="868"/>
      <c r="AD116" s="868"/>
      <c r="AE116" s="868"/>
      <c r="AF116" s="868"/>
      <c r="AG116" s="868"/>
      <c r="AH116" s="868"/>
      <c r="AI116" s="868"/>
      <c r="AJ116" s="868"/>
      <c r="AK116" s="868"/>
      <c r="AL116" s="868"/>
      <c r="AM116" s="868"/>
      <c r="AN116" s="868"/>
      <c r="AO116" s="868"/>
      <c r="AP116" s="868"/>
    </row>
    <row r="117" spans="1:42">
      <c r="A117" s="868"/>
      <c r="B117" s="1188" t="s">
        <v>884</v>
      </c>
      <c r="C117" s="1181"/>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68"/>
      <c r="Z117" s="868"/>
      <c r="AA117" s="868"/>
      <c r="AB117" s="868"/>
      <c r="AC117" s="868"/>
      <c r="AD117" s="868"/>
      <c r="AE117" s="868"/>
      <c r="AF117" s="868"/>
      <c r="AG117" s="868"/>
      <c r="AH117" s="868"/>
      <c r="AI117" s="868"/>
      <c r="AJ117" s="868"/>
      <c r="AK117" s="868"/>
      <c r="AL117" s="868"/>
      <c r="AM117" s="868"/>
      <c r="AN117" s="868"/>
      <c r="AO117" s="868"/>
      <c r="AP117" s="868"/>
    </row>
    <row r="118" spans="1:42">
      <c r="A118" s="868"/>
      <c r="B118" s="1188"/>
      <c r="C118" s="1181"/>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8"/>
      <c r="AA118" s="868"/>
      <c r="AB118" s="868"/>
      <c r="AC118" s="868"/>
      <c r="AD118" s="868"/>
      <c r="AE118" s="868"/>
      <c r="AF118" s="868"/>
      <c r="AG118" s="868"/>
      <c r="AH118" s="868"/>
      <c r="AI118" s="868"/>
      <c r="AJ118" s="868"/>
      <c r="AK118" s="868"/>
      <c r="AL118" s="868"/>
      <c r="AM118" s="868"/>
      <c r="AN118" s="868"/>
      <c r="AO118" s="868"/>
      <c r="AP118" s="868"/>
    </row>
    <row r="119" spans="1:42">
      <c r="A119" s="868"/>
      <c r="B119" s="1188"/>
      <c r="C119" s="868"/>
      <c r="D119" s="1176" t="s">
        <v>773</v>
      </c>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8"/>
      <c r="AA119" s="868"/>
      <c r="AB119" s="868"/>
      <c r="AC119" s="868"/>
      <c r="AD119" s="868"/>
      <c r="AE119" s="868"/>
      <c r="AF119" s="868"/>
      <c r="AG119" s="868"/>
      <c r="AH119" s="868"/>
      <c r="AI119" s="868"/>
      <c r="AJ119" s="868"/>
      <c r="AK119" s="868"/>
      <c r="AL119" s="868"/>
      <c r="AM119" s="868"/>
      <c r="AN119" s="868"/>
      <c r="AO119" s="868"/>
      <c r="AP119" s="868"/>
    </row>
    <row r="120" spans="1:42">
      <c r="A120" s="868"/>
      <c r="B120" s="1181"/>
      <c r="C120" s="1181"/>
      <c r="D120" s="868" t="s">
        <v>774</v>
      </c>
      <c r="E120" s="868"/>
      <c r="F120" s="868"/>
      <c r="G120" s="868"/>
      <c r="H120" s="868"/>
      <c r="I120" s="868"/>
      <c r="J120" s="868"/>
      <c r="K120" s="868"/>
      <c r="L120" s="868"/>
      <c r="M120" s="868"/>
      <c r="N120" s="868"/>
      <c r="O120" s="868"/>
      <c r="P120" s="868"/>
      <c r="Q120" s="868"/>
      <c r="R120" s="868"/>
      <c r="S120" s="868"/>
      <c r="T120" s="811">
        <v>2150</v>
      </c>
      <c r="U120" s="811">
        <v>2265.6000000000004</v>
      </c>
      <c r="V120" s="811">
        <v>2465.6</v>
      </c>
      <c r="W120" s="811">
        <v>2442.9999999999995</v>
      </c>
      <c r="X120" s="811">
        <v>2442.9999999999995</v>
      </c>
      <c r="Y120" s="811">
        <v>2442.9999999999995</v>
      </c>
      <c r="Z120" s="811">
        <v>2442.9999999999995</v>
      </c>
      <c r="AA120" s="811">
        <v>2068</v>
      </c>
      <c r="AB120" s="811">
        <v>2068</v>
      </c>
      <c r="AC120" s="811">
        <v>1993</v>
      </c>
      <c r="AD120" s="868"/>
      <c r="AE120" s="868"/>
      <c r="AF120" s="868"/>
      <c r="AG120" s="868"/>
      <c r="AH120" s="868"/>
      <c r="AI120" s="868"/>
      <c r="AJ120" s="868"/>
      <c r="AK120" s="868"/>
      <c r="AL120" s="868"/>
      <c r="AM120" s="868"/>
      <c r="AN120" s="868"/>
      <c r="AO120" s="868"/>
      <c r="AP120" s="868"/>
    </row>
    <row r="121" spans="1:42">
      <c r="A121" s="868"/>
      <c r="B121" s="1181"/>
      <c r="C121" s="1181"/>
      <c r="D121" s="868" t="s">
        <v>775</v>
      </c>
      <c r="E121" s="868"/>
      <c r="F121" s="868"/>
      <c r="G121" s="868"/>
      <c r="H121" s="868"/>
      <c r="I121" s="868"/>
      <c r="J121" s="868"/>
      <c r="K121" s="868"/>
      <c r="L121" s="868"/>
      <c r="M121" s="868"/>
      <c r="N121" s="868"/>
      <c r="O121" s="868"/>
      <c r="P121" s="868"/>
      <c r="Q121" s="868"/>
      <c r="R121" s="868"/>
      <c r="S121" s="868"/>
      <c r="T121" s="811">
        <v>300</v>
      </c>
      <c r="U121" s="811">
        <v>300</v>
      </c>
      <c r="V121" s="811">
        <v>0</v>
      </c>
      <c r="W121" s="811">
        <v>0</v>
      </c>
      <c r="X121" s="811">
        <v>0</v>
      </c>
      <c r="Y121" s="811">
        <v>0</v>
      </c>
      <c r="Z121" s="811">
        <v>0</v>
      </c>
      <c r="AA121" s="811">
        <v>0</v>
      </c>
      <c r="AB121" s="811">
        <v>0</v>
      </c>
      <c r="AC121" s="811">
        <v>0</v>
      </c>
      <c r="AD121" s="868"/>
      <c r="AE121" s="868"/>
      <c r="AF121" s="868"/>
      <c r="AG121" s="868"/>
      <c r="AH121" s="868"/>
      <c r="AI121" s="868"/>
      <c r="AJ121" s="868"/>
      <c r="AK121" s="868"/>
      <c r="AL121" s="868"/>
      <c r="AM121" s="868"/>
      <c r="AN121" s="868"/>
      <c r="AO121" s="868"/>
      <c r="AP121" s="868"/>
    </row>
    <row r="122" spans="1:42">
      <c r="A122" s="868"/>
      <c r="B122" s="1181"/>
      <c r="C122" s="1181"/>
      <c r="D122" s="868" t="s">
        <v>885</v>
      </c>
      <c r="E122" s="868"/>
      <c r="F122" s="868"/>
      <c r="G122" s="868"/>
      <c r="H122" s="868"/>
      <c r="I122" s="868"/>
      <c r="J122" s="868"/>
      <c r="K122" s="868"/>
      <c r="L122" s="868"/>
      <c r="M122" s="868"/>
      <c r="N122" s="868"/>
      <c r="O122" s="868"/>
      <c r="P122" s="868"/>
      <c r="Q122" s="868"/>
      <c r="R122" s="868"/>
      <c r="S122" s="868"/>
      <c r="T122" s="811">
        <v>537.40697983255154</v>
      </c>
      <c r="U122" s="811">
        <v>605.24797329518356</v>
      </c>
      <c r="V122" s="811">
        <v>658.93567060840371</v>
      </c>
      <c r="W122" s="811">
        <v>677.94251488998907</v>
      </c>
      <c r="X122" s="811">
        <v>203.17058986073701</v>
      </c>
      <c r="Y122" s="811">
        <v>208.48688155615594</v>
      </c>
      <c r="Z122" s="811">
        <v>214.74148800284081</v>
      </c>
      <c r="AA122" s="811">
        <v>190.29072084959549</v>
      </c>
      <c r="AB122" s="811">
        <v>195.99944247508353</v>
      </c>
      <c r="AC122" s="811">
        <v>201.87942574933624</v>
      </c>
      <c r="AD122" s="868"/>
      <c r="AE122" s="868"/>
      <c r="AF122" s="868"/>
      <c r="AG122" s="868"/>
      <c r="AH122" s="868"/>
      <c r="AI122" s="868"/>
      <c r="AJ122" s="868"/>
      <c r="AK122" s="868"/>
      <c r="AL122" s="868"/>
      <c r="AM122" s="868"/>
      <c r="AN122" s="868"/>
      <c r="AO122" s="868"/>
      <c r="AP122" s="868"/>
    </row>
    <row r="123" spans="1:42">
      <c r="A123" s="868"/>
      <c r="B123" s="1181"/>
      <c r="C123" s="1181"/>
      <c r="D123" s="868" t="s">
        <v>886</v>
      </c>
      <c r="E123" s="868"/>
      <c r="F123" s="868"/>
      <c r="G123" s="868"/>
      <c r="H123" s="868"/>
      <c r="I123" s="868"/>
      <c r="J123" s="868"/>
      <c r="K123" s="868"/>
      <c r="L123" s="868"/>
      <c r="M123" s="868"/>
      <c r="N123" s="868"/>
      <c r="O123" s="868"/>
      <c r="P123" s="868"/>
      <c r="Q123" s="868"/>
      <c r="R123" s="868"/>
      <c r="S123" s="868"/>
      <c r="T123" s="811">
        <v>0</v>
      </c>
      <c r="U123" s="811">
        <v>0</v>
      </c>
      <c r="V123" s="811">
        <v>0</v>
      </c>
      <c r="W123" s="811">
        <v>0</v>
      </c>
      <c r="X123" s="811">
        <v>0</v>
      </c>
      <c r="Y123" s="811">
        <v>0</v>
      </c>
      <c r="Z123" s="811">
        <v>0</v>
      </c>
      <c r="AA123" s="811">
        <v>0</v>
      </c>
      <c r="AB123" s="811">
        <v>0</v>
      </c>
      <c r="AC123" s="811">
        <v>0</v>
      </c>
      <c r="AD123" s="868"/>
      <c r="AE123" s="868"/>
      <c r="AF123" s="868"/>
      <c r="AG123" s="868"/>
      <c r="AH123" s="868"/>
      <c r="AI123" s="868"/>
      <c r="AJ123" s="868"/>
      <c r="AK123" s="868"/>
      <c r="AL123" s="868"/>
      <c r="AM123" s="868"/>
      <c r="AN123" s="868"/>
      <c r="AO123" s="868"/>
      <c r="AP123" s="868"/>
    </row>
    <row r="124" spans="1:42">
      <c r="A124" s="868"/>
      <c r="B124" s="1181"/>
      <c r="C124" s="1181"/>
      <c r="D124" s="868" t="s">
        <v>887</v>
      </c>
      <c r="E124" s="868"/>
      <c r="F124" s="868"/>
      <c r="G124" s="868"/>
      <c r="H124" s="868"/>
      <c r="I124" s="868"/>
      <c r="J124" s="868"/>
      <c r="K124" s="868"/>
      <c r="L124" s="868"/>
      <c r="M124" s="868"/>
      <c r="N124" s="868"/>
      <c r="O124" s="868"/>
      <c r="P124" s="868"/>
      <c r="Q124" s="868"/>
      <c r="R124" s="868"/>
      <c r="S124" s="868"/>
      <c r="T124" s="811">
        <v>0</v>
      </c>
      <c r="U124" s="811">
        <v>0</v>
      </c>
      <c r="V124" s="811">
        <v>0</v>
      </c>
      <c r="W124" s="811">
        <v>0</v>
      </c>
      <c r="X124" s="811">
        <v>0</v>
      </c>
      <c r="Y124" s="811">
        <v>0</v>
      </c>
      <c r="Z124" s="811">
        <v>0</v>
      </c>
      <c r="AA124" s="811">
        <v>0</v>
      </c>
      <c r="AB124" s="811">
        <v>0</v>
      </c>
      <c r="AC124" s="811">
        <v>0</v>
      </c>
      <c r="AD124" s="868"/>
      <c r="AE124" s="868"/>
      <c r="AF124" s="868"/>
      <c r="AG124" s="868"/>
      <c r="AH124" s="868"/>
      <c r="AI124" s="868"/>
      <c r="AJ124" s="868"/>
      <c r="AK124" s="868"/>
      <c r="AL124" s="868"/>
      <c r="AM124" s="868"/>
      <c r="AN124" s="868"/>
      <c r="AO124" s="868"/>
      <c r="AP124" s="868"/>
    </row>
    <row r="125" spans="1:42">
      <c r="A125" s="868"/>
      <c r="B125" s="1181"/>
      <c r="C125" s="1181"/>
      <c r="D125" s="1176" t="s">
        <v>602</v>
      </c>
      <c r="E125" s="1176"/>
      <c r="F125" s="1176"/>
      <c r="G125" s="1176"/>
      <c r="H125" s="1176"/>
      <c r="I125" s="1176"/>
      <c r="J125" s="1176"/>
      <c r="K125" s="1176"/>
      <c r="L125" s="1176"/>
      <c r="M125" s="1176"/>
      <c r="N125" s="1176"/>
      <c r="O125" s="1176"/>
      <c r="P125" s="1176"/>
      <c r="Q125" s="1176"/>
      <c r="R125" s="1176"/>
      <c r="S125" s="1176"/>
      <c r="T125" s="815">
        <v>2987.4069798325518</v>
      </c>
      <c r="U125" s="815">
        <v>3170.8479732951837</v>
      </c>
      <c r="V125" s="815">
        <v>3124.5356706084035</v>
      </c>
      <c r="W125" s="815">
        <v>3120.9425148899886</v>
      </c>
      <c r="X125" s="815">
        <v>2646.1705898607365</v>
      </c>
      <c r="Y125" s="815">
        <v>2651.4868815561554</v>
      </c>
      <c r="Z125" s="815">
        <v>2657.7414880028405</v>
      </c>
      <c r="AA125" s="815">
        <v>2258.2907208495953</v>
      </c>
      <c r="AB125" s="815">
        <v>2263.9994424750835</v>
      </c>
      <c r="AC125" s="815">
        <v>2194.8794257493364</v>
      </c>
      <c r="AD125" s="868"/>
      <c r="AE125" s="868"/>
      <c r="AF125" s="868"/>
      <c r="AG125" s="868"/>
      <c r="AH125" s="868"/>
      <c r="AI125" s="868"/>
      <c r="AJ125" s="868"/>
      <c r="AK125" s="868"/>
      <c r="AL125" s="868"/>
      <c r="AM125" s="868"/>
      <c r="AN125" s="868"/>
      <c r="AO125" s="868"/>
      <c r="AP125" s="868"/>
    </row>
    <row r="126" spans="1:42">
      <c r="A126" s="868"/>
      <c r="B126" s="1181"/>
      <c r="C126" s="1181"/>
      <c r="D126" s="868"/>
      <c r="E126" s="868"/>
      <c r="F126" s="868"/>
      <c r="G126" s="868"/>
      <c r="H126" s="868"/>
      <c r="I126" s="868"/>
      <c r="J126" s="868"/>
      <c r="K126" s="868"/>
      <c r="L126" s="868"/>
      <c r="M126" s="868"/>
      <c r="N126" s="868"/>
      <c r="O126" s="868"/>
      <c r="P126" s="868"/>
      <c r="Q126" s="868"/>
      <c r="R126" s="868"/>
      <c r="S126" s="868"/>
      <c r="T126" s="868"/>
      <c r="U126" s="868"/>
      <c r="V126" s="868"/>
      <c r="W126" s="868"/>
      <c r="X126" s="868"/>
      <c r="Y126" s="868"/>
      <c r="Z126" s="868"/>
      <c r="AA126" s="868"/>
      <c r="AB126" s="868"/>
      <c r="AC126" s="868"/>
      <c r="AD126" s="868"/>
      <c r="AE126" s="868"/>
      <c r="AF126" s="868"/>
      <c r="AG126" s="868"/>
      <c r="AH126" s="868"/>
      <c r="AI126" s="868"/>
      <c r="AJ126" s="868"/>
      <c r="AK126" s="868"/>
      <c r="AL126" s="868"/>
      <c r="AM126" s="868"/>
      <c r="AN126" s="868"/>
      <c r="AO126" s="868"/>
      <c r="AP126" s="868"/>
    </row>
    <row r="127" spans="1:42">
      <c r="A127" s="868"/>
      <c r="B127" s="1188"/>
      <c r="C127" s="868"/>
      <c r="D127" s="1176" t="s">
        <v>782</v>
      </c>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8"/>
      <c r="AA127" s="868"/>
      <c r="AB127" s="868"/>
      <c r="AC127" s="868"/>
      <c r="AD127" s="868"/>
      <c r="AE127" s="868"/>
      <c r="AF127" s="868"/>
      <c r="AG127" s="868"/>
      <c r="AH127" s="868"/>
      <c r="AI127" s="868"/>
      <c r="AJ127" s="868"/>
      <c r="AK127" s="868"/>
      <c r="AL127" s="868"/>
      <c r="AM127" s="868"/>
      <c r="AN127" s="868"/>
      <c r="AO127" s="868"/>
      <c r="AP127" s="868"/>
    </row>
    <row r="128" spans="1:42">
      <c r="A128" s="868"/>
      <c r="B128" s="1181"/>
      <c r="C128" s="1181"/>
      <c r="D128" s="868" t="s">
        <v>774</v>
      </c>
      <c r="E128" s="868"/>
      <c r="F128" s="868"/>
      <c r="G128" s="868"/>
      <c r="H128" s="868"/>
      <c r="I128" s="868"/>
      <c r="J128" s="868"/>
      <c r="K128" s="868"/>
      <c r="L128" s="868"/>
      <c r="M128" s="868"/>
      <c r="N128" s="868"/>
      <c r="O128" s="868"/>
      <c r="P128" s="868"/>
      <c r="Q128" s="868"/>
      <c r="R128" s="868"/>
      <c r="S128" s="868"/>
      <c r="T128" s="811">
        <v>-540</v>
      </c>
      <c r="U128" s="811">
        <v>-540</v>
      </c>
      <c r="V128" s="811">
        <v>-540</v>
      </c>
      <c r="W128" s="811">
        <v>-540</v>
      </c>
      <c r="X128" s="811">
        <v>-540</v>
      </c>
      <c r="Y128" s="811">
        <v>-540</v>
      </c>
      <c r="Z128" s="811">
        <v>-540</v>
      </c>
      <c r="AA128" s="811">
        <v>-540</v>
      </c>
      <c r="AB128" s="811">
        <v>-540</v>
      </c>
      <c r="AC128" s="811">
        <v>-465</v>
      </c>
      <c r="AD128" s="868"/>
      <c r="AE128" s="868"/>
      <c r="AF128" s="868"/>
      <c r="AG128" s="868"/>
      <c r="AH128" s="868"/>
      <c r="AI128" s="868"/>
      <c r="AJ128" s="868"/>
      <c r="AK128" s="868"/>
      <c r="AL128" s="868"/>
      <c r="AM128" s="868"/>
      <c r="AN128" s="868"/>
      <c r="AO128" s="868"/>
      <c r="AP128" s="868"/>
    </row>
    <row r="129" spans="1:42">
      <c r="A129" s="868"/>
      <c r="B129" s="1181"/>
      <c r="C129" s="1181"/>
      <c r="D129" s="868" t="s">
        <v>775</v>
      </c>
      <c r="E129" s="868"/>
      <c r="F129" s="868"/>
      <c r="G129" s="868"/>
      <c r="H129" s="868"/>
      <c r="I129" s="868"/>
      <c r="J129" s="868"/>
      <c r="K129" s="868"/>
      <c r="L129" s="868"/>
      <c r="M129" s="868"/>
      <c r="N129" s="868"/>
      <c r="O129" s="868"/>
      <c r="P129" s="868"/>
      <c r="Q129" s="868"/>
      <c r="R129" s="868"/>
      <c r="S129" s="868"/>
      <c r="T129" s="811">
        <v>0</v>
      </c>
      <c r="U129" s="811">
        <v>0</v>
      </c>
      <c r="V129" s="811">
        <v>0</v>
      </c>
      <c r="W129" s="811">
        <v>0</v>
      </c>
      <c r="X129" s="811">
        <v>0</v>
      </c>
      <c r="Y129" s="811">
        <v>0</v>
      </c>
      <c r="Z129" s="811">
        <v>0</v>
      </c>
      <c r="AA129" s="811">
        <v>0</v>
      </c>
      <c r="AB129" s="811">
        <v>0</v>
      </c>
      <c r="AC129" s="811">
        <v>0</v>
      </c>
      <c r="AD129" s="868"/>
      <c r="AE129" s="868"/>
      <c r="AF129" s="868"/>
      <c r="AG129" s="868"/>
      <c r="AH129" s="868"/>
      <c r="AI129" s="868"/>
      <c r="AJ129" s="868"/>
      <c r="AK129" s="868"/>
      <c r="AL129" s="868"/>
      <c r="AM129" s="868"/>
      <c r="AN129" s="868"/>
      <c r="AO129" s="868"/>
      <c r="AP129" s="868"/>
    </row>
    <row r="130" spans="1:42">
      <c r="A130" s="868"/>
      <c r="B130" s="1181"/>
      <c r="C130" s="1181"/>
      <c r="D130" s="868" t="s">
        <v>885</v>
      </c>
      <c r="E130" s="868"/>
      <c r="F130" s="868"/>
      <c r="G130" s="868"/>
      <c r="H130" s="868"/>
      <c r="I130" s="868"/>
      <c r="J130" s="868"/>
      <c r="K130" s="868"/>
      <c r="L130" s="868"/>
      <c r="M130" s="868"/>
      <c r="N130" s="868"/>
      <c r="O130" s="868"/>
      <c r="P130" s="868"/>
      <c r="Q130" s="868"/>
      <c r="R130" s="868"/>
      <c r="S130" s="868"/>
      <c r="T130" s="811">
        <v>0</v>
      </c>
      <c r="U130" s="811">
        <v>0</v>
      </c>
      <c r="V130" s="811">
        <v>0</v>
      </c>
      <c r="W130" s="811">
        <v>0</v>
      </c>
      <c r="X130" s="811">
        <v>0</v>
      </c>
      <c r="Y130" s="811">
        <v>0</v>
      </c>
      <c r="Z130" s="811">
        <v>0</v>
      </c>
      <c r="AA130" s="811">
        <v>0</v>
      </c>
      <c r="AB130" s="811">
        <v>0</v>
      </c>
      <c r="AC130" s="811">
        <v>0</v>
      </c>
      <c r="AD130" s="868"/>
      <c r="AE130" s="868"/>
      <c r="AF130" s="868"/>
      <c r="AG130" s="868"/>
      <c r="AH130" s="868"/>
      <c r="AI130" s="868"/>
      <c r="AJ130" s="868"/>
      <c r="AK130" s="868"/>
      <c r="AL130" s="868"/>
      <c r="AM130" s="868"/>
      <c r="AN130" s="868"/>
      <c r="AO130" s="868"/>
      <c r="AP130" s="868"/>
    </row>
    <row r="131" spans="1:42">
      <c r="A131" s="868"/>
      <c r="B131" s="1181"/>
      <c r="C131" s="1181"/>
      <c r="D131" s="868" t="s">
        <v>886</v>
      </c>
      <c r="E131" s="868"/>
      <c r="F131" s="868"/>
      <c r="G131" s="868"/>
      <c r="H131" s="868"/>
      <c r="I131" s="868"/>
      <c r="J131" s="868"/>
      <c r="K131" s="868"/>
      <c r="L131" s="868"/>
      <c r="M131" s="868"/>
      <c r="N131" s="868"/>
      <c r="O131" s="868"/>
      <c r="P131" s="868"/>
      <c r="Q131" s="868"/>
      <c r="R131" s="868"/>
      <c r="S131" s="868"/>
      <c r="T131" s="811">
        <v>540</v>
      </c>
      <c r="U131" s="811">
        <v>540</v>
      </c>
      <c r="V131" s="811">
        <v>540</v>
      </c>
      <c r="W131" s="811">
        <v>540</v>
      </c>
      <c r="X131" s="811">
        <v>540</v>
      </c>
      <c r="Y131" s="811">
        <v>540</v>
      </c>
      <c r="Z131" s="811">
        <v>540</v>
      </c>
      <c r="AA131" s="811">
        <v>540</v>
      </c>
      <c r="AB131" s="811">
        <v>540</v>
      </c>
      <c r="AC131" s="811">
        <v>465</v>
      </c>
      <c r="AD131" s="868"/>
      <c r="AE131" s="868"/>
      <c r="AF131" s="868"/>
      <c r="AG131" s="868"/>
      <c r="AH131" s="868"/>
      <c r="AI131" s="868"/>
      <c r="AJ131" s="868"/>
      <c r="AK131" s="868"/>
      <c r="AL131" s="868"/>
      <c r="AM131" s="868"/>
      <c r="AN131" s="868"/>
      <c r="AO131" s="868"/>
      <c r="AP131" s="868"/>
    </row>
    <row r="132" spans="1:42">
      <c r="A132" s="868"/>
      <c r="B132" s="1181"/>
      <c r="C132" s="1181"/>
      <c r="D132" s="868" t="s">
        <v>887</v>
      </c>
      <c r="E132" s="868"/>
      <c r="F132" s="868"/>
      <c r="G132" s="868"/>
      <c r="H132" s="868"/>
      <c r="I132" s="868"/>
      <c r="J132" s="868"/>
      <c r="K132" s="868"/>
      <c r="L132" s="868"/>
      <c r="M132" s="868"/>
      <c r="N132" s="868"/>
      <c r="O132" s="868"/>
      <c r="P132" s="868"/>
      <c r="Q132" s="868"/>
      <c r="R132" s="868"/>
      <c r="S132" s="868"/>
      <c r="T132" s="811">
        <v>0</v>
      </c>
      <c r="U132" s="811">
        <v>0</v>
      </c>
      <c r="V132" s="811">
        <v>0</v>
      </c>
      <c r="W132" s="811">
        <v>0</v>
      </c>
      <c r="X132" s="811">
        <v>0</v>
      </c>
      <c r="Y132" s="811">
        <v>0</v>
      </c>
      <c r="Z132" s="811">
        <v>0</v>
      </c>
      <c r="AA132" s="811">
        <v>0</v>
      </c>
      <c r="AB132" s="811">
        <v>0</v>
      </c>
      <c r="AC132" s="811">
        <v>0</v>
      </c>
      <c r="AD132" s="868"/>
      <c r="AE132" s="868"/>
      <c r="AF132" s="868"/>
      <c r="AG132" s="868"/>
      <c r="AH132" s="868"/>
      <c r="AI132" s="868"/>
      <c r="AJ132" s="868"/>
      <c r="AK132" s="868"/>
      <c r="AL132" s="868"/>
      <c r="AM132" s="868"/>
      <c r="AN132" s="868"/>
      <c r="AO132" s="868"/>
      <c r="AP132" s="868"/>
    </row>
    <row r="133" spans="1:42">
      <c r="A133" s="868"/>
      <c r="B133" s="1181"/>
      <c r="C133" s="1181"/>
      <c r="D133" s="1176" t="s">
        <v>602</v>
      </c>
      <c r="E133" s="1176"/>
      <c r="F133" s="1176"/>
      <c r="G133" s="1176"/>
      <c r="H133" s="1176"/>
      <c r="I133" s="1176"/>
      <c r="J133" s="1176"/>
      <c r="K133" s="1176"/>
      <c r="L133" s="1176"/>
      <c r="M133" s="1176"/>
      <c r="N133" s="1176"/>
      <c r="O133" s="1176"/>
      <c r="P133" s="1176"/>
      <c r="Q133" s="1176"/>
      <c r="R133" s="1176"/>
      <c r="S133" s="1176"/>
      <c r="T133" s="815">
        <v>0</v>
      </c>
      <c r="U133" s="815">
        <v>0</v>
      </c>
      <c r="V133" s="815">
        <v>0</v>
      </c>
      <c r="W133" s="815">
        <v>0</v>
      </c>
      <c r="X133" s="815">
        <v>0</v>
      </c>
      <c r="Y133" s="815">
        <v>0</v>
      </c>
      <c r="Z133" s="815">
        <v>0</v>
      </c>
      <c r="AA133" s="815">
        <v>0</v>
      </c>
      <c r="AB133" s="815">
        <v>0</v>
      </c>
      <c r="AC133" s="815">
        <v>0</v>
      </c>
      <c r="AD133" s="868"/>
      <c r="AE133" s="868"/>
      <c r="AF133" s="868"/>
      <c r="AG133" s="868"/>
      <c r="AH133" s="868"/>
      <c r="AI133" s="868"/>
      <c r="AJ133" s="868"/>
      <c r="AK133" s="868"/>
      <c r="AL133" s="868"/>
      <c r="AM133" s="868"/>
      <c r="AN133" s="868"/>
      <c r="AO133" s="868"/>
      <c r="AP133" s="868"/>
    </row>
    <row r="134" spans="1:42">
      <c r="A134" s="868"/>
      <c r="B134" s="1181"/>
      <c r="C134" s="1181"/>
      <c r="D134" s="1176"/>
      <c r="E134" s="868"/>
      <c r="F134" s="868"/>
      <c r="G134" s="868"/>
      <c r="H134" s="868"/>
      <c r="I134" s="868"/>
      <c r="J134" s="868"/>
      <c r="K134" s="868"/>
      <c r="L134" s="868"/>
      <c r="M134" s="868"/>
      <c r="N134" s="868"/>
      <c r="O134" s="868"/>
      <c r="P134" s="868"/>
      <c r="Q134" s="868"/>
      <c r="R134" s="868"/>
      <c r="S134" s="868"/>
      <c r="T134" s="868"/>
      <c r="U134" s="868"/>
      <c r="V134" s="868"/>
      <c r="W134" s="868"/>
      <c r="X134" s="868"/>
      <c r="Y134" s="868"/>
      <c r="Z134" s="868"/>
      <c r="AA134" s="868"/>
      <c r="AB134" s="868"/>
      <c r="AC134" s="868"/>
      <c r="AD134" s="868"/>
      <c r="AE134" s="868"/>
      <c r="AF134" s="868"/>
      <c r="AG134" s="868"/>
      <c r="AH134" s="868"/>
      <c r="AI134" s="868"/>
      <c r="AJ134" s="868"/>
      <c r="AK134" s="868"/>
      <c r="AL134" s="868"/>
      <c r="AM134" s="868"/>
      <c r="AN134" s="868"/>
      <c r="AO134" s="868"/>
      <c r="AP134" s="868"/>
    </row>
    <row r="135" spans="1:42">
      <c r="A135" s="868"/>
      <c r="B135" s="1188"/>
      <c r="C135" s="868"/>
      <c r="D135" s="1176" t="s">
        <v>783</v>
      </c>
      <c r="E135" s="868"/>
      <c r="F135" s="868"/>
      <c r="G135" s="868"/>
      <c r="H135" s="868"/>
      <c r="I135" s="868"/>
      <c r="J135" s="868"/>
      <c r="K135" s="868"/>
      <c r="L135" s="868"/>
      <c r="M135" s="868"/>
      <c r="N135" s="868"/>
      <c r="O135" s="868"/>
      <c r="P135" s="868"/>
      <c r="Q135" s="868"/>
      <c r="R135" s="868"/>
      <c r="S135" s="868"/>
      <c r="T135" s="868"/>
      <c r="U135" s="868"/>
      <c r="V135" s="868"/>
      <c r="W135" s="868"/>
      <c r="X135" s="868"/>
      <c r="Y135" s="868"/>
      <c r="Z135" s="868"/>
      <c r="AA135" s="868"/>
      <c r="AB135" s="868"/>
      <c r="AC135" s="868"/>
      <c r="AD135" s="868"/>
      <c r="AE135" s="868"/>
      <c r="AF135" s="868"/>
      <c r="AG135" s="868"/>
      <c r="AH135" s="868"/>
      <c r="AI135" s="868"/>
      <c r="AJ135" s="868"/>
      <c r="AK135" s="868"/>
      <c r="AL135" s="868"/>
      <c r="AM135" s="868"/>
      <c r="AN135" s="868"/>
      <c r="AO135" s="868"/>
      <c r="AP135" s="868"/>
    </row>
    <row r="136" spans="1:42">
      <c r="A136" s="868"/>
      <c r="B136" s="1181"/>
      <c r="C136" s="1181"/>
      <c r="D136" s="868" t="s">
        <v>774</v>
      </c>
      <c r="E136" s="868"/>
      <c r="F136" s="868"/>
      <c r="G136" s="868"/>
      <c r="H136" s="868"/>
      <c r="I136" s="868"/>
      <c r="J136" s="868"/>
      <c r="K136" s="868"/>
      <c r="L136" s="868"/>
      <c r="M136" s="868"/>
      <c r="N136" s="868"/>
      <c r="O136" s="868"/>
      <c r="P136" s="868"/>
      <c r="Q136" s="868"/>
      <c r="R136" s="868"/>
      <c r="S136" s="868"/>
      <c r="T136" s="811">
        <v>1610</v>
      </c>
      <c r="U136" s="811">
        <v>1725.6000000000004</v>
      </c>
      <c r="V136" s="811">
        <v>1925.6</v>
      </c>
      <c r="W136" s="811">
        <v>1902.9999999999995</v>
      </c>
      <c r="X136" s="811">
        <v>1902.9999999999995</v>
      </c>
      <c r="Y136" s="811">
        <v>1902.9999999999995</v>
      </c>
      <c r="Z136" s="811">
        <v>1902.9999999999995</v>
      </c>
      <c r="AA136" s="811">
        <v>1528</v>
      </c>
      <c r="AB136" s="811">
        <v>1528</v>
      </c>
      <c r="AC136" s="811">
        <v>1528</v>
      </c>
      <c r="AD136" s="868"/>
      <c r="AE136" s="868"/>
      <c r="AF136" s="868"/>
      <c r="AG136" s="868"/>
      <c r="AH136" s="868"/>
      <c r="AI136" s="868"/>
      <c r="AJ136" s="868"/>
      <c r="AK136" s="868"/>
      <c r="AL136" s="868"/>
      <c r="AM136" s="868"/>
      <c r="AN136" s="868"/>
      <c r="AO136" s="868"/>
      <c r="AP136" s="868"/>
    </row>
    <row r="137" spans="1:42">
      <c r="A137" s="868"/>
      <c r="B137" s="1181"/>
      <c r="C137" s="1181"/>
      <c r="D137" s="868" t="s">
        <v>775</v>
      </c>
      <c r="E137" s="868"/>
      <c r="F137" s="868"/>
      <c r="G137" s="868"/>
      <c r="H137" s="868"/>
      <c r="I137" s="868"/>
      <c r="J137" s="868"/>
      <c r="K137" s="868"/>
      <c r="L137" s="868"/>
      <c r="M137" s="868"/>
      <c r="N137" s="868"/>
      <c r="O137" s="868"/>
      <c r="P137" s="868"/>
      <c r="Q137" s="868"/>
      <c r="R137" s="868"/>
      <c r="S137" s="868"/>
      <c r="T137" s="811">
        <v>300</v>
      </c>
      <c r="U137" s="811">
        <v>300</v>
      </c>
      <c r="V137" s="811">
        <v>0</v>
      </c>
      <c r="W137" s="811">
        <v>0</v>
      </c>
      <c r="X137" s="811">
        <v>0</v>
      </c>
      <c r="Y137" s="811">
        <v>0</v>
      </c>
      <c r="Z137" s="811">
        <v>0</v>
      </c>
      <c r="AA137" s="811">
        <v>0</v>
      </c>
      <c r="AB137" s="811">
        <v>0</v>
      </c>
      <c r="AC137" s="811">
        <v>0</v>
      </c>
      <c r="AD137" s="868"/>
      <c r="AE137" s="868"/>
      <c r="AF137" s="868"/>
      <c r="AG137" s="868"/>
      <c r="AH137" s="868"/>
      <c r="AI137" s="868"/>
      <c r="AJ137" s="868"/>
      <c r="AK137" s="868"/>
      <c r="AL137" s="868"/>
      <c r="AM137" s="868"/>
      <c r="AN137" s="868"/>
      <c r="AO137" s="868"/>
      <c r="AP137" s="868"/>
    </row>
    <row r="138" spans="1:42">
      <c r="A138" s="868"/>
      <c r="B138" s="1181"/>
      <c r="C138" s="1181"/>
      <c r="D138" s="868" t="s">
        <v>885</v>
      </c>
      <c r="E138" s="868"/>
      <c r="F138" s="868"/>
      <c r="G138" s="868"/>
      <c r="H138" s="868"/>
      <c r="I138" s="868"/>
      <c r="J138" s="868"/>
      <c r="K138" s="868"/>
      <c r="L138" s="868"/>
      <c r="M138" s="868"/>
      <c r="N138" s="868"/>
      <c r="O138" s="868"/>
      <c r="P138" s="868"/>
      <c r="Q138" s="868"/>
      <c r="R138" s="868"/>
      <c r="S138" s="868"/>
      <c r="T138" s="811">
        <v>537.40697983255154</v>
      </c>
      <c r="U138" s="811">
        <v>605.24797329518356</v>
      </c>
      <c r="V138" s="811">
        <v>658.93567060840371</v>
      </c>
      <c r="W138" s="811">
        <v>677.94251488998907</v>
      </c>
      <c r="X138" s="811">
        <v>203.17058986073701</v>
      </c>
      <c r="Y138" s="811">
        <v>208.48688155615594</v>
      </c>
      <c r="Z138" s="811">
        <v>214.74148800284081</v>
      </c>
      <c r="AA138" s="811">
        <v>190.29072084959549</v>
      </c>
      <c r="AB138" s="811">
        <v>195.99944247508353</v>
      </c>
      <c r="AC138" s="811">
        <v>201.87942574933624</v>
      </c>
      <c r="AD138" s="868"/>
      <c r="AE138" s="868"/>
      <c r="AF138" s="868"/>
      <c r="AG138" s="868"/>
      <c r="AH138" s="868"/>
      <c r="AI138" s="868"/>
      <c r="AJ138" s="868"/>
      <c r="AK138" s="868"/>
      <c r="AL138" s="868"/>
      <c r="AM138" s="868"/>
      <c r="AN138" s="868"/>
      <c r="AO138" s="868"/>
      <c r="AP138" s="868"/>
    </row>
    <row r="139" spans="1:42">
      <c r="A139" s="868"/>
      <c r="B139" s="1181"/>
      <c r="C139" s="1181"/>
      <c r="D139" s="868" t="s">
        <v>886</v>
      </c>
      <c r="E139" s="868"/>
      <c r="F139" s="868"/>
      <c r="G139" s="868"/>
      <c r="H139" s="868"/>
      <c r="I139" s="868"/>
      <c r="J139" s="868"/>
      <c r="K139" s="868"/>
      <c r="L139" s="868"/>
      <c r="M139" s="868"/>
      <c r="N139" s="868"/>
      <c r="O139" s="868"/>
      <c r="P139" s="868"/>
      <c r="Q139" s="868"/>
      <c r="R139" s="868"/>
      <c r="S139" s="868"/>
      <c r="T139" s="811">
        <v>540</v>
      </c>
      <c r="U139" s="811">
        <v>540</v>
      </c>
      <c r="V139" s="811">
        <v>540</v>
      </c>
      <c r="W139" s="811">
        <v>540</v>
      </c>
      <c r="X139" s="811">
        <v>540</v>
      </c>
      <c r="Y139" s="811">
        <v>540</v>
      </c>
      <c r="Z139" s="811">
        <v>540</v>
      </c>
      <c r="AA139" s="811">
        <v>540</v>
      </c>
      <c r="AB139" s="811">
        <v>540</v>
      </c>
      <c r="AC139" s="811">
        <v>465</v>
      </c>
      <c r="AD139" s="868"/>
      <c r="AE139" s="868"/>
      <c r="AF139" s="868"/>
      <c r="AG139" s="868"/>
      <c r="AH139" s="868"/>
      <c r="AI139" s="868"/>
      <c r="AJ139" s="868"/>
      <c r="AK139" s="868"/>
      <c r="AL139" s="868"/>
      <c r="AM139" s="868"/>
      <c r="AN139" s="868"/>
      <c r="AO139" s="868"/>
      <c r="AP139" s="868"/>
    </row>
    <row r="140" spans="1:42">
      <c r="A140" s="868"/>
      <c r="B140" s="1181"/>
      <c r="C140" s="1181"/>
      <c r="D140" s="868" t="s">
        <v>887</v>
      </c>
      <c r="E140" s="868"/>
      <c r="F140" s="868"/>
      <c r="G140" s="868"/>
      <c r="H140" s="868"/>
      <c r="I140" s="868"/>
      <c r="J140" s="868"/>
      <c r="K140" s="868"/>
      <c r="L140" s="868"/>
      <c r="M140" s="868"/>
      <c r="N140" s="868"/>
      <c r="O140" s="868"/>
      <c r="P140" s="868"/>
      <c r="Q140" s="868"/>
      <c r="R140" s="868"/>
      <c r="S140" s="868"/>
      <c r="T140" s="811">
        <v>0</v>
      </c>
      <c r="U140" s="811">
        <v>0</v>
      </c>
      <c r="V140" s="811">
        <v>0</v>
      </c>
      <c r="W140" s="811">
        <v>0</v>
      </c>
      <c r="X140" s="811">
        <v>0</v>
      </c>
      <c r="Y140" s="811">
        <v>0</v>
      </c>
      <c r="Z140" s="811">
        <v>0</v>
      </c>
      <c r="AA140" s="811">
        <v>0</v>
      </c>
      <c r="AB140" s="811">
        <v>0</v>
      </c>
      <c r="AC140" s="811">
        <v>0</v>
      </c>
      <c r="AD140" s="868"/>
      <c r="AE140" s="868"/>
      <c r="AF140" s="868"/>
      <c r="AG140" s="868"/>
      <c r="AH140" s="868"/>
      <c r="AI140" s="868"/>
      <c r="AJ140" s="868"/>
      <c r="AK140" s="868"/>
      <c r="AL140" s="868"/>
      <c r="AM140" s="868"/>
      <c r="AN140" s="868"/>
      <c r="AO140" s="868"/>
      <c r="AP140" s="868"/>
    </row>
    <row r="141" spans="1:42">
      <c r="A141" s="868"/>
      <c r="B141" s="1181"/>
      <c r="C141" s="1181"/>
      <c r="D141" s="1176" t="s">
        <v>602</v>
      </c>
      <c r="E141" s="1176"/>
      <c r="F141" s="1176"/>
      <c r="G141" s="1176"/>
      <c r="H141" s="1176"/>
      <c r="I141" s="1176"/>
      <c r="J141" s="1176"/>
      <c r="K141" s="1176"/>
      <c r="L141" s="1176"/>
      <c r="M141" s="1176"/>
      <c r="N141" s="1176"/>
      <c r="O141" s="1176"/>
      <c r="P141" s="1176"/>
      <c r="Q141" s="1176"/>
      <c r="R141" s="1176"/>
      <c r="S141" s="1176"/>
      <c r="T141" s="815">
        <v>2987.4069798325518</v>
      </c>
      <c r="U141" s="815">
        <v>3170.8479732951837</v>
      </c>
      <c r="V141" s="815">
        <v>3124.5356706084035</v>
      </c>
      <c r="W141" s="815">
        <v>3120.9425148899886</v>
      </c>
      <c r="X141" s="815">
        <v>2646.1705898607365</v>
      </c>
      <c r="Y141" s="815">
        <v>2651.4868815561554</v>
      </c>
      <c r="Z141" s="815">
        <v>2657.7414880028405</v>
      </c>
      <c r="AA141" s="815">
        <v>2258.2907208495953</v>
      </c>
      <c r="AB141" s="815">
        <v>2263.9994424750835</v>
      </c>
      <c r="AC141" s="815">
        <v>2194.8794257493364</v>
      </c>
      <c r="AD141" s="868"/>
      <c r="AE141" s="868"/>
      <c r="AF141" s="868"/>
      <c r="AG141" s="868"/>
      <c r="AH141" s="868"/>
      <c r="AI141" s="868"/>
      <c r="AJ141" s="868"/>
      <c r="AK141" s="868"/>
      <c r="AL141" s="868"/>
      <c r="AM141" s="868"/>
      <c r="AN141" s="868"/>
      <c r="AO141" s="868"/>
      <c r="AP141" s="868"/>
    </row>
    <row r="142" spans="1:42">
      <c r="A142" s="868"/>
      <c r="B142" s="1181"/>
      <c r="C142" s="1181"/>
      <c r="D142" s="1176"/>
      <c r="E142" s="868"/>
      <c r="F142" s="868"/>
      <c r="G142" s="868"/>
      <c r="H142" s="868"/>
      <c r="I142" s="868"/>
      <c r="J142" s="868"/>
      <c r="K142" s="868"/>
      <c r="L142" s="868"/>
      <c r="M142" s="868"/>
      <c r="N142" s="868"/>
      <c r="O142" s="868"/>
      <c r="P142" s="868"/>
      <c r="Q142" s="868"/>
      <c r="R142" s="868"/>
      <c r="S142" s="868"/>
      <c r="T142" s="868"/>
      <c r="U142" s="868"/>
      <c r="V142" s="868"/>
      <c r="W142" s="868"/>
      <c r="X142" s="868"/>
      <c r="Y142" s="868"/>
      <c r="Z142" s="868"/>
      <c r="AA142" s="868"/>
      <c r="AB142" s="868"/>
      <c r="AC142" s="868"/>
      <c r="AD142" s="868"/>
      <c r="AE142" s="868"/>
      <c r="AF142" s="868"/>
      <c r="AG142" s="868"/>
      <c r="AH142" s="868"/>
      <c r="AI142" s="868"/>
      <c r="AJ142" s="868"/>
      <c r="AK142" s="868"/>
      <c r="AL142" s="868"/>
      <c r="AM142" s="868"/>
      <c r="AN142" s="868"/>
      <c r="AO142" s="868"/>
      <c r="AP142" s="868"/>
    </row>
    <row r="143" spans="1:42" ht="15" customHeight="1">
      <c r="A143" s="1205"/>
      <c r="B143" s="1206" t="s">
        <v>784</v>
      </c>
      <c r="C143" s="1206"/>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1208"/>
      <c r="AE143" s="1208"/>
      <c r="AF143" s="1208"/>
      <c r="AG143" s="1208"/>
      <c r="AH143" s="1208"/>
      <c r="AI143" s="1208"/>
      <c r="AJ143" s="1208"/>
      <c r="AK143" s="1208"/>
      <c r="AL143" s="1208"/>
      <c r="AM143" s="143"/>
      <c r="AN143" s="143"/>
      <c r="AO143" s="143"/>
      <c r="AP143" s="143"/>
    </row>
    <row r="144" spans="1:42">
      <c r="A144" s="868"/>
      <c r="B144" s="1181"/>
      <c r="C144" s="1181"/>
      <c r="D144" s="868"/>
      <c r="E144" s="868"/>
      <c r="F144" s="868"/>
      <c r="G144" s="868"/>
      <c r="H144" s="868"/>
      <c r="I144" s="868"/>
      <c r="J144" s="868"/>
      <c r="K144" s="868"/>
      <c r="L144" s="868"/>
      <c r="M144" s="868"/>
      <c r="N144" s="868"/>
      <c r="O144" s="868"/>
      <c r="P144" s="868"/>
      <c r="Q144" s="868"/>
      <c r="R144" s="868"/>
      <c r="S144" s="868"/>
      <c r="T144" s="868"/>
      <c r="U144" s="868"/>
      <c r="V144" s="868"/>
      <c r="W144" s="868"/>
      <c r="X144" s="868"/>
      <c r="Y144" s="868"/>
      <c r="Z144" s="868"/>
      <c r="AA144" s="868"/>
      <c r="AB144" s="868"/>
      <c r="AC144" s="868"/>
      <c r="AD144" s="868"/>
      <c r="AE144" s="868"/>
      <c r="AF144" s="868"/>
      <c r="AG144" s="868"/>
      <c r="AH144" s="868"/>
      <c r="AI144" s="868"/>
      <c r="AJ144" s="868"/>
      <c r="AK144" s="868"/>
      <c r="AL144" s="868"/>
      <c r="AM144" s="868"/>
      <c r="AN144" s="868"/>
      <c r="AO144" s="868"/>
      <c r="AP144" s="868"/>
    </row>
    <row r="145" spans="1:42">
      <c r="A145" s="868"/>
      <c r="B145" s="1181"/>
      <c r="C145" s="1181"/>
      <c r="D145" s="868"/>
      <c r="E145" s="868"/>
      <c r="F145" s="868"/>
      <c r="G145" s="868"/>
      <c r="H145" s="868"/>
      <c r="I145" s="868"/>
      <c r="J145" s="868"/>
      <c r="K145" s="868"/>
      <c r="L145" s="868"/>
      <c r="M145" s="868"/>
      <c r="N145" s="868"/>
      <c r="O145" s="868"/>
      <c r="P145" s="868"/>
      <c r="Q145" s="868"/>
      <c r="R145" s="868"/>
      <c r="S145" s="868"/>
      <c r="T145" s="868"/>
      <c r="U145" s="868"/>
      <c r="V145" s="868"/>
      <c r="W145" s="868"/>
      <c r="X145" s="868"/>
      <c r="Y145" s="868"/>
      <c r="Z145" s="868"/>
      <c r="AA145" s="868"/>
      <c r="AB145" s="868"/>
      <c r="AC145" s="868"/>
      <c r="AD145" s="868"/>
      <c r="AE145" s="868"/>
      <c r="AF145" s="868"/>
      <c r="AG145" s="868"/>
      <c r="AH145" s="868"/>
      <c r="AI145" s="868"/>
      <c r="AJ145" s="868"/>
      <c r="AK145" s="868"/>
      <c r="AL145" s="868"/>
      <c r="AM145" s="868"/>
      <c r="AN145" s="868"/>
      <c r="AO145" s="868"/>
      <c r="AP145" s="868"/>
    </row>
    <row r="146" spans="1:42"/>
  </sheetData>
  <sheetProtection insertRows="0" deleteRows="0" sort="0" autoFilter="0" pivotTables="0"/>
  <dataConsolidate/>
  <mergeCells count="47">
    <mergeCell ref="D51:Q51"/>
    <mergeCell ref="T7:X7"/>
    <mergeCell ref="Y7:AC7"/>
    <mergeCell ref="D48:Q48"/>
    <mergeCell ref="D49:Q49"/>
    <mergeCell ref="D50:Q50"/>
    <mergeCell ref="D65:R65"/>
    <mergeCell ref="D52:Q52"/>
    <mergeCell ref="D53:Q53"/>
    <mergeCell ref="D54:Q54"/>
    <mergeCell ref="D55:Q55"/>
    <mergeCell ref="D56:Q56"/>
    <mergeCell ref="D57:Q57"/>
    <mergeCell ref="D60:R60"/>
    <mergeCell ref="D61:R61"/>
    <mergeCell ref="D62:R62"/>
    <mergeCell ref="D63:R63"/>
    <mergeCell ref="D64:R64"/>
    <mergeCell ref="D77:R77"/>
    <mergeCell ref="D66:R66"/>
    <mergeCell ref="D67:R67"/>
    <mergeCell ref="D68:R68"/>
    <mergeCell ref="D69:R69"/>
    <mergeCell ref="D70:R70"/>
    <mergeCell ref="D71:R71"/>
    <mergeCell ref="D72:R72"/>
    <mergeCell ref="D73:R73"/>
    <mergeCell ref="D74:R74"/>
    <mergeCell ref="D75:R75"/>
    <mergeCell ref="D76:R76"/>
    <mergeCell ref="D105:R105"/>
    <mergeCell ref="D87:R87"/>
    <mergeCell ref="D88:R88"/>
    <mergeCell ref="D89:R89"/>
    <mergeCell ref="D90:R90"/>
    <mergeCell ref="D91:R91"/>
    <mergeCell ref="D92:R92"/>
    <mergeCell ref="D96:R96"/>
    <mergeCell ref="D97:R97"/>
    <mergeCell ref="D98:R98"/>
    <mergeCell ref="D99:R99"/>
    <mergeCell ref="D101:R101"/>
    <mergeCell ref="D106:R106"/>
    <mergeCell ref="D107:R107"/>
    <mergeCell ref="D111:R111"/>
    <mergeCell ref="D112:R112"/>
    <mergeCell ref="D113:R113"/>
  </mergeCells>
  <conditionalFormatting sqref="T14:AC29 T94:AC94">
    <cfRule type="cellIs" priority="6" stopIfTrue="1" operator="greaterThanOrEqual">
      <formula>0</formula>
    </cfRule>
  </conditionalFormatting>
  <conditionalFormatting sqref="T41:AC41">
    <cfRule type="expression" dxfId="36" priority="2">
      <formula>T41&lt;&gt;"OK"</formula>
    </cfRule>
  </conditionalFormatting>
  <conditionalFormatting sqref="T80:AC80">
    <cfRule type="cellIs" priority="5" stopIfTrue="1" operator="greaterThanOrEqual">
      <formula>0</formula>
    </cfRule>
  </conditionalFormatting>
  <conditionalFormatting sqref="T93:AC93 T102:AC102 T108:AC108 T114:AC114">
    <cfRule type="expression" dxfId="35"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3.5"/>
  <cols>
    <col min="1" max="1" width="8.3828125" style="136" customWidth="1"/>
    <col min="2" max="2" width="52.15234375" style="136" bestFit="1" customWidth="1"/>
    <col min="3" max="4" width="4.23046875" style="136" customWidth="1"/>
    <col min="5" max="5" width="14.15234375" style="158" customWidth="1"/>
    <col min="6" max="10" width="11.15234375" style="136" customWidth="1"/>
    <col min="11" max="11" width="5" style="136" customWidth="1"/>
    <col min="12" max="12" width="9" style="136"/>
    <col min="13" max="13" width="9" style="94"/>
    <col min="14" max="16384" width="9" style="136"/>
  </cols>
  <sheetData>
    <row r="1" spans="1:19" ht="20">
      <c r="A1" s="362" t="s">
        <v>888</v>
      </c>
      <c r="B1" s="364"/>
      <c r="C1" s="364"/>
      <c r="D1" s="364"/>
      <c r="E1" s="880"/>
      <c r="F1" s="365"/>
      <c r="G1" s="365"/>
      <c r="H1" s="365"/>
      <c r="I1" s="365"/>
      <c r="J1" s="365"/>
      <c r="K1" s="494"/>
    </row>
    <row r="2" spans="1:19" ht="20">
      <c r="A2" s="367" t="str">
        <f>Licensee</f>
        <v>SGN - Southern</v>
      </c>
      <c r="B2" s="369"/>
      <c r="C2" s="369"/>
      <c r="D2" s="369"/>
      <c r="E2" s="881"/>
      <c r="F2" s="370"/>
      <c r="G2" s="370"/>
      <c r="H2" s="370"/>
      <c r="I2" s="370"/>
      <c r="J2" s="370"/>
      <c r="K2" s="372"/>
    </row>
    <row r="3" spans="1:19" ht="20">
      <c r="A3" s="369">
        <f>Reporting_Year</f>
        <v>2024</v>
      </c>
      <c r="B3" s="373"/>
      <c r="C3" s="373"/>
      <c r="D3" s="373"/>
      <c r="E3" s="373"/>
      <c r="F3" s="373"/>
      <c r="G3" s="373"/>
      <c r="H3" s="373"/>
      <c r="I3" s="373"/>
      <c r="J3" s="373"/>
      <c r="K3" s="375"/>
    </row>
    <row r="4" spans="1:19" s="377" customFormat="1" ht="12.75" customHeight="1">
      <c r="E4" s="505"/>
      <c r="M4" s="427"/>
    </row>
    <row r="5" spans="1:19" s="377" customFormat="1">
      <c r="B5" s="517"/>
      <c r="C5" s="517"/>
      <c r="D5" s="517"/>
      <c r="E5" s="505"/>
      <c r="F5" s="518" t="str">
        <f>IF(F6&lt;=Reporting_Year,"Actuals","Forecast")</f>
        <v>Actuals</v>
      </c>
      <c r="G5" s="518" t="str">
        <f>IF(G6&lt;=Reporting_Year,"Actuals","Forecast")</f>
        <v>Actuals</v>
      </c>
      <c r="H5" s="518" t="str">
        <f>IF(H6&lt;=Reporting_Year,"Actuals","Forecast")</f>
        <v>Actuals</v>
      </c>
      <c r="I5" s="518" t="str">
        <f>IF(I6&lt;=Reporting_Year,"Actuals","Forecast")</f>
        <v>Forecast</v>
      </c>
      <c r="J5" s="518" t="str">
        <f>IF(J6&lt;=Reporting_Year,"Actuals","Forecast")</f>
        <v>Forecast</v>
      </c>
      <c r="M5" s="427"/>
    </row>
    <row r="6" spans="1:19" s="377" customFormat="1">
      <c r="E6" s="505"/>
      <c r="F6" s="495">
        <f>'RFPR cover'!$C$6</f>
        <v>2022</v>
      </c>
      <c r="G6" s="496">
        <f>F6+1</f>
        <v>2023</v>
      </c>
      <c r="H6" s="496">
        <f t="shared" ref="H6:J6" si="0">G6+1</f>
        <v>2024</v>
      </c>
      <c r="I6" s="496">
        <f t="shared" si="0"/>
        <v>2025</v>
      </c>
      <c r="J6" s="496">
        <f t="shared" si="0"/>
        <v>2026</v>
      </c>
      <c r="M6" s="427"/>
    </row>
    <row r="7" spans="1:19" s="377" customFormat="1">
      <c r="E7" s="505"/>
      <c r="F7" s="495" t="str">
        <f>RIIO_2_start_date-1&amp;"/"&amp;RIGHT(RIIO_2_start_date,2)</f>
        <v>2021/22</v>
      </c>
      <c r="G7" s="495" t="str">
        <f>RIIO_2_start_date&amp;"/"&amp;RIGHT(RIIO_2_start_date+1,2)</f>
        <v>2022/23</v>
      </c>
      <c r="H7" s="495" t="str">
        <f>RIIO_2_start_date+1&amp;"/"&amp;RIGHT(RIIO_2_start_date+2,2)</f>
        <v>2023/24</v>
      </c>
      <c r="I7" s="495" t="str">
        <f>RIIO_2_start_date+2&amp;"/"&amp;RIGHT(RIIO_2_start_date+3,2)</f>
        <v>2024/25</v>
      </c>
      <c r="J7" s="597" t="str">
        <f>RIIO_2_start_date+3&amp;"/"&amp;RIGHT(RIIO_2_start_date+4,2)</f>
        <v>2025/26</v>
      </c>
      <c r="M7" s="427"/>
    </row>
    <row r="8" spans="1:19" s="377" customFormat="1">
      <c r="E8" s="505"/>
      <c r="F8" s="505"/>
      <c r="G8" s="505"/>
      <c r="H8" s="505"/>
      <c r="I8" s="505"/>
      <c r="J8" s="505"/>
      <c r="K8" s="505"/>
      <c r="L8" s="505"/>
      <c r="M8" s="505"/>
      <c r="N8" s="505"/>
      <c r="O8" s="505"/>
      <c r="P8" s="505"/>
      <c r="Q8" s="505"/>
      <c r="R8" s="505"/>
      <c r="S8" s="505"/>
    </row>
    <row r="9" spans="1:19" s="377" customFormat="1">
      <c r="B9" s="882" t="s">
        <v>889</v>
      </c>
      <c r="C9" s="882"/>
      <c r="D9" s="882"/>
      <c r="L9" s="505"/>
      <c r="M9" s="427"/>
    </row>
    <row r="10" spans="1:19" s="377" customFormat="1">
      <c r="L10" s="505"/>
    </row>
    <row r="11" spans="1:19" s="377" customFormat="1">
      <c r="B11" s="883"/>
      <c r="C11" s="883"/>
      <c r="D11" s="883"/>
      <c r="E11" s="883"/>
      <c r="F11" s="883"/>
      <c r="G11" s="883"/>
      <c r="H11" s="883"/>
      <c r="I11" s="883"/>
      <c r="J11" s="883"/>
      <c r="K11" s="883"/>
      <c r="L11" s="505"/>
      <c r="M11" s="427"/>
    </row>
    <row r="12" spans="1:19" s="377" customFormat="1">
      <c r="B12" s="136" t="s">
        <v>890</v>
      </c>
      <c r="C12" s="136"/>
      <c r="D12" s="136"/>
      <c r="E12" s="884" t="str">
        <f>Data!$C$9</f>
        <v>£m 18/19</v>
      </c>
      <c r="F12" s="885">
        <v>3892.0418972621947</v>
      </c>
      <c r="G12" s="885">
        <v>3901.3682663290756</v>
      </c>
      <c r="H12" s="885">
        <v>3917.8431205366078</v>
      </c>
      <c r="I12" s="885">
        <v>3972.5773935334905</v>
      </c>
      <c r="J12" s="885">
        <v>4014.5254229632683</v>
      </c>
      <c r="L12" s="505"/>
      <c r="M12" s="427"/>
    </row>
    <row r="13" spans="1:19" s="377" customFormat="1">
      <c r="L13" s="505"/>
      <c r="M13" s="427"/>
    </row>
    <row r="14" spans="1:19" s="377" customFormat="1">
      <c r="B14" s="883"/>
      <c r="C14" s="883"/>
      <c r="D14" s="883"/>
      <c r="E14" s="505"/>
      <c r="F14" s="505"/>
      <c r="G14" s="505"/>
      <c r="H14" s="505"/>
      <c r="I14" s="505"/>
      <c r="J14" s="505"/>
      <c r="L14" s="505"/>
      <c r="M14" s="427"/>
    </row>
    <row r="15" spans="1:19" s="377" customFormat="1" ht="14">
      <c r="B15" s="377" t="s">
        <v>891</v>
      </c>
      <c r="E15" s="884" t="str">
        <f>Data!$C$9</f>
        <v>£m 18/19</v>
      </c>
      <c r="F15" s="885">
        <v>3883.0172970911995</v>
      </c>
      <c r="G15" s="905">
        <f>F24</f>
        <v>3892.0418972621947</v>
      </c>
      <c r="H15" s="905">
        <f>G24</f>
        <v>3901.3682663290756</v>
      </c>
      <c r="I15" s="905">
        <f>H24</f>
        <v>3917.8431205366078</v>
      </c>
      <c r="J15" s="905">
        <f>I24</f>
        <v>3972.5773935334905</v>
      </c>
      <c r="L15" s="505"/>
      <c r="M15" s="427"/>
    </row>
    <row r="16" spans="1:19" s="377" customFormat="1">
      <c r="B16" s="377" t="s">
        <v>892</v>
      </c>
      <c r="E16" s="884" t="str">
        <f>Data!$C$9</f>
        <v>£m 18/19</v>
      </c>
      <c r="F16" s="886"/>
      <c r="G16" s="887"/>
      <c r="H16" s="887"/>
      <c r="I16" s="887"/>
      <c r="J16" s="887"/>
      <c r="L16" s="505"/>
      <c r="M16" s="427"/>
    </row>
    <row r="17" spans="1:19" s="377" customFormat="1">
      <c r="B17" s="519" t="s">
        <v>893</v>
      </c>
      <c r="C17" s="519"/>
      <c r="D17" s="519"/>
      <c r="E17" s="884" t="str">
        <f>Data!$C$9</f>
        <v>£m 18/19</v>
      </c>
      <c r="F17" s="906">
        <f>SUM(F15:F16)</f>
        <v>3883.0172970911995</v>
      </c>
      <c r="G17" s="907">
        <f t="shared" ref="G17:J17" si="1">SUM(G15:G16)</f>
        <v>3892.0418972621947</v>
      </c>
      <c r="H17" s="907">
        <f t="shared" si="1"/>
        <v>3901.3682663290756</v>
      </c>
      <c r="I17" s="907">
        <f t="shared" si="1"/>
        <v>3917.8431205366078</v>
      </c>
      <c r="J17" s="907">
        <f t="shared" si="1"/>
        <v>3972.5773935334905</v>
      </c>
      <c r="L17" s="505"/>
      <c r="M17" s="427"/>
    </row>
    <row r="18" spans="1:19" s="377" customFormat="1">
      <c r="B18" s="888" t="s">
        <v>894</v>
      </c>
      <c r="C18" s="888"/>
      <c r="D18" s="888"/>
      <c r="E18" s="884" t="str">
        <f>Data!$C$9</f>
        <v>£m 18/19</v>
      </c>
      <c r="F18" s="889">
        <v>212.04814661968103</v>
      </c>
      <c r="G18" s="889">
        <v>216.08485291984115</v>
      </c>
      <c r="H18" s="889">
        <v>226.9389069979909</v>
      </c>
      <c r="I18" s="889">
        <v>269.16703248387017</v>
      </c>
      <c r="J18" s="889">
        <v>261.96623642476038</v>
      </c>
      <c r="L18" s="505"/>
      <c r="M18" s="427"/>
    </row>
    <row r="19" spans="1:19" s="377" customFormat="1">
      <c r="B19" s="888" t="s">
        <v>895</v>
      </c>
      <c r="C19" s="888"/>
      <c r="D19" s="888"/>
      <c r="E19" s="884" t="str">
        <f>Data!$C$9</f>
        <v>£m 18/19</v>
      </c>
      <c r="F19" s="890"/>
      <c r="G19" s="891"/>
      <c r="H19" s="891"/>
      <c r="I19" s="891"/>
      <c r="J19" s="891"/>
      <c r="L19" s="505"/>
      <c r="M19" s="427"/>
    </row>
    <row r="20" spans="1:19" s="377" customFormat="1">
      <c r="B20" s="892" t="s">
        <v>896</v>
      </c>
      <c r="C20" s="892"/>
      <c r="D20" s="892"/>
      <c r="E20" s="884" t="str">
        <f>Data!$C$9</f>
        <v>£m 18/19</v>
      </c>
      <c r="F20" s="908">
        <f>SUM(F18:F19)</f>
        <v>212.04814661968103</v>
      </c>
      <c r="G20" s="908">
        <f t="shared" ref="G20:J20" si="2">SUM(G18:G19)</f>
        <v>216.08485291984115</v>
      </c>
      <c r="H20" s="908">
        <f t="shared" si="2"/>
        <v>226.9389069979909</v>
      </c>
      <c r="I20" s="908">
        <f t="shared" si="2"/>
        <v>269.16703248387017</v>
      </c>
      <c r="J20" s="908">
        <f t="shared" si="2"/>
        <v>261.96623642476038</v>
      </c>
      <c r="L20" s="505"/>
      <c r="M20" s="427"/>
    </row>
    <row r="21" spans="1:19" s="377" customFormat="1">
      <c r="B21" s="888" t="s">
        <v>897</v>
      </c>
      <c r="C21" s="888"/>
      <c r="D21" s="888"/>
      <c r="E21" s="884" t="str">
        <f>Data!$C$9</f>
        <v>£m 18/19</v>
      </c>
      <c r="F21" s="893">
        <v>-203.02354644868603</v>
      </c>
      <c r="G21" s="893">
        <v>-206.75848385295996</v>
      </c>
      <c r="H21" s="893">
        <v>-210.46405279045845</v>
      </c>
      <c r="I21" s="893">
        <v>-214.43275948698783</v>
      </c>
      <c r="J21" s="894">
        <v>-220.01820699498245</v>
      </c>
      <c r="L21" s="505"/>
      <c r="M21" s="427"/>
    </row>
    <row r="22" spans="1:19" s="377" customFormat="1">
      <c r="B22" s="888" t="s">
        <v>898</v>
      </c>
      <c r="C22" s="888"/>
      <c r="D22" s="888"/>
      <c r="E22" s="884" t="str">
        <f>Data!$C$9</f>
        <v>£m 18/19</v>
      </c>
      <c r="F22" s="895"/>
      <c r="G22" s="896"/>
      <c r="H22" s="896"/>
      <c r="I22" s="896"/>
      <c r="J22" s="896"/>
      <c r="L22" s="505"/>
      <c r="M22" s="427"/>
    </row>
    <row r="23" spans="1:19" s="377" customFormat="1">
      <c r="B23" s="434" t="s">
        <v>899</v>
      </c>
      <c r="C23" s="434"/>
      <c r="D23" s="434"/>
      <c r="E23" s="884" t="str">
        <f>Data!$C$9</f>
        <v>£m 18/19</v>
      </c>
      <c r="F23" s="909">
        <f>SUM(F21:F22)</f>
        <v>-203.02354644868603</v>
      </c>
      <c r="G23" s="909">
        <f t="shared" ref="G23:J23" si="3">SUM(G21:G22)</f>
        <v>-206.75848385295996</v>
      </c>
      <c r="H23" s="909">
        <f t="shared" si="3"/>
        <v>-210.46405279045845</v>
      </c>
      <c r="I23" s="909">
        <f t="shared" si="3"/>
        <v>-214.43275948698783</v>
      </c>
      <c r="J23" s="909">
        <f t="shared" si="3"/>
        <v>-220.01820699498245</v>
      </c>
      <c r="L23" s="1287"/>
      <c r="M23" s="1287"/>
      <c r="N23" s="1287"/>
      <c r="O23" s="1287"/>
    </row>
    <row r="24" spans="1:19" s="377" customFormat="1">
      <c r="B24" s="519" t="s">
        <v>900</v>
      </c>
      <c r="C24" s="519"/>
      <c r="D24" s="519"/>
      <c r="E24" s="884" t="str">
        <f>Data!$C$9</f>
        <v>£m 18/19</v>
      </c>
      <c r="F24" s="910">
        <f>F17+F20+F23</f>
        <v>3892.0418972621947</v>
      </c>
      <c r="G24" s="910">
        <f t="shared" ref="G24:J24" si="4">G17+G20+G23</f>
        <v>3901.3682663290756</v>
      </c>
      <c r="H24" s="910">
        <f t="shared" si="4"/>
        <v>3917.8431205366078</v>
      </c>
      <c r="I24" s="910">
        <f t="shared" si="4"/>
        <v>3972.5773935334905</v>
      </c>
      <c r="J24" s="910">
        <f t="shared" si="4"/>
        <v>4014.5254229632683</v>
      </c>
      <c r="L24" s="505"/>
      <c r="M24" s="427"/>
    </row>
    <row r="25" spans="1:19" s="377" customFormat="1">
      <c r="B25" s="519"/>
      <c r="C25" s="519"/>
      <c r="D25" s="519"/>
      <c r="E25" s="884"/>
      <c r="F25" s="884"/>
      <c r="G25" s="884"/>
      <c r="H25" s="884"/>
      <c r="I25" s="884"/>
      <c r="J25" s="884"/>
      <c r="K25" s="884"/>
      <c r="L25" s="505"/>
      <c r="M25" s="884"/>
      <c r="N25" s="884"/>
    </row>
    <row r="26" spans="1:19" s="377" customFormat="1">
      <c r="B26" s="519" t="s">
        <v>901</v>
      </c>
      <c r="C26" s="884"/>
      <c r="D26" s="884"/>
      <c r="E26" s="884" t="str">
        <f>Data!$C$9</f>
        <v>£m 18/19</v>
      </c>
      <c r="F26" s="910">
        <f>F19+F22</f>
        <v>0</v>
      </c>
      <c r="G26" s="911">
        <f>G19+G22</f>
        <v>0</v>
      </c>
      <c r="H26" s="911">
        <f t="shared" ref="H26:J26" si="5">H19+H22</f>
        <v>0</v>
      </c>
      <c r="I26" s="911">
        <f t="shared" si="5"/>
        <v>0</v>
      </c>
      <c r="J26" s="912">
        <f t="shared" si="5"/>
        <v>0</v>
      </c>
      <c r="K26" s="884"/>
      <c r="L26" s="505"/>
      <c r="M26" s="884"/>
      <c r="N26" s="884"/>
    </row>
    <row r="27" spans="1:19" s="377" customFormat="1">
      <c r="B27" s="519" t="s">
        <v>902</v>
      </c>
      <c r="C27" s="884"/>
      <c r="D27" s="884"/>
      <c r="E27" s="898"/>
      <c r="F27" s="913" t="str">
        <f>IF(F5="Actuals",IF(ABS((F24-SUM($F26:F$26))-F12)&lt;0.1,"TRUE","FALSE"),"NA")</f>
        <v>TRUE</v>
      </c>
      <c r="G27" s="914" t="str">
        <f>IF(G5="Actuals",IF(ABS((G24-SUM($F26:G$26))-G12)&lt;0.1,"TRUE","FALSE"),"NA")</f>
        <v>TRUE</v>
      </c>
      <c r="H27" s="914" t="str">
        <f>IF(H5="Actuals",IF(ABS((H24-SUM($F26:H$26))-H12)&lt;0.1,"TRUE","FALSE"),"NA")</f>
        <v>TRUE</v>
      </c>
      <c r="I27" s="914" t="str">
        <f>IF(I5="Actuals",IF(ABS((I24-SUM($F26:I$26))-I12)&lt;0.1,"TRUE","FALSE"),"NA")</f>
        <v>NA</v>
      </c>
      <c r="J27" s="915" t="str">
        <f>IF(J5="Actuals",IF(ABS((J24-SUM($F26:J$26))-J12)&lt;0.1,"TRUE","FALSE"),"NA")</f>
        <v>NA</v>
      </c>
      <c r="K27" s="884"/>
      <c r="L27" s="505"/>
      <c r="N27" s="884"/>
    </row>
    <row r="28" spans="1:19" s="377" customFormat="1">
      <c r="B28" s="519"/>
      <c r="C28" s="519"/>
      <c r="D28" s="519"/>
      <c r="E28" s="884"/>
      <c r="F28" s="884"/>
      <c r="G28" s="884"/>
      <c r="H28" s="884"/>
      <c r="I28" s="884"/>
      <c r="J28" s="884"/>
      <c r="K28" s="884"/>
      <c r="L28" s="505"/>
      <c r="M28" s="884"/>
      <c r="N28" s="884"/>
    </row>
    <row r="29" spans="1:19" s="377" customFormat="1">
      <c r="B29" s="519"/>
      <c r="C29" s="519"/>
      <c r="D29" s="519"/>
      <c r="E29" s="884"/>
      <c r="F29" s="897"/>
      <c r="G29" s="884"/>
      <c r="H29" s="897"/>
      <c r="I29" s="897"/>
      <c r="J29" s="897"/>
      <c r="K29" s="884"/>
      <c r="L29" s="505"/>
      <c r="M29" s="884"/>
      <c r="N29" s="884"/>
    </row>
    <row r="30" spans="1:19" s="377" customFormat="1">
      <c r="A30" s="136"/>
      <c r="B30" s="377" t="s">
        <v>903</v>
      </c>
      <c r="E30" s="158" t="s">
        <v>904</v>
      </c>
      <c r="F30" s="1266">
        <f>IF(Sector="ED2",(INDEX(Data!C29:N29,MATCH(RIIO_2_start_date-1,Data!C27:N27,0))/Data!$E$28),INDEX(Data!C20:N20,MATCH(RIIO_2_start_date-1,Data!C18:N18,0))/Data!$C$19)</f>
        <v>1.0533528227824487</v>
      </c>
      <c r="G30" s="884"/>
      <c r="H30" s="897"/>
      <c r="I30" s="897"/>
      <c r="J30" s="899"/>
      <c r="K30" s="900"/>
      <c r="L30" s="505"/>
      <c r="M30" s="1294"/>
      <c r="N30" s="1294"/>
    </row>
    <row r="31" spans="1:19" s="377" customFormat="1">
      <c r="B31" s="519"/>
      <c r="C31" s="519"/>
      <c r="D31" s="519"/>
      <c r="E31" s="884"/>
      <c r="F31" s="901"/>
      <c r="G31" s="901"/>
      <c r="H31" s="901"/>
      <c r="I31" s="901"/>
      <c r="J31" s="901"/>
      <c r="K31" s="884"/>
      <c r="L31" s="505"/>
    </row>
    <row r="32" spans="1:19" s="377" customFormat="1">
      <c r="B32" s="519" t="s">
        <v>900</v>
      </c>
      <c r="C32" s="519"/>
      <c r="D32" s="519"/>
      <c r="E32" s="29" t="s">
        <v>520</v>
      </c>
      <c r="F32" s="916">
        <f>IF(Sector="ED2",F24*Data!H36,F24*Combined_real_to_nominal_prices_conversion_factor__financial_year_end)</f>
        <v>4394.9597960005294</v>
      </c>
      <c r="G32" s="916">
        <f>IF(Sector="ED2",G24*Data!I36,G24*Combined_real_to_nominal_prices_conversion_factor__financial_year_end)</f>
        <v>4772.1478902674071</v>
      </c>
      <c r="H32" s="916">
        <f>IF(Sector="ED2",H24*Data!J36,H24*Combined_real_to_nominal_prices_conversion_factor__financial_year_end)</f>
        <v>4948.9338240982897</v>
      </c>
      <c r="I32" s="916">
        <f>IF(Sector="ED2",I24*Data!K36,I24*Combined_real_to_nominal_prices_conversion_factor__financial_year_end)</f>
        <v>5099.5606964126209</v>
      </c>
      <c r="J32" s="916">
        <f>IF(Sector="ED2",J24*Data!L36,J24*Combined_real_to_nominal_prices_conversion_factor__financial_year_end)</f>
        <v>5232.0912307018889</v>
      </c>
      <c r="K32" s="1312"/>
      <c r="Q32" s="1287"/>
      <c r="R32" s="1287"/>
      <c r="S32" s="1287"/>
    </row>
    <row r="33" spans="1:14" s="377" customFormat="1">
      <c r="B33" s="519"/>
      <c r="C33" s="519"/>
      <c r="D33" s="519"/>
      <c r="E33" s="884"/>
      <c r="F33" s="884"/>
      <c r="G33" s="884"/>
      <c r="H33" s="884"/>
      <c r="I33" s="884"/>
      <c r="J33" s="884"/>
      <c r="K33" s="884"/>
      <c r="L33" s="505"/>
      <c r="M33" s="884"/>
      <c r="N33" s="884"/>
    </row>
    <row r="34" spans="1:14" s="377" customFormat="1">
      <c r="B34" s="427" t="s">
        <v>905</v>
      </c>
      <c r="C34" s="427"/>
      <c r="D34" s="427"/>
      <c r="E34" s="884" t="s">
        <v>906</v>
      </c>
      <c r="F34" s="917">
        <f>INDEX(Data!$H$63:$P$91,MATCH('RFPR cover'!$C$7,Data!$B$63:$B$91,0),MATCH('R7 - RAV'!F$6,Data!$H$62:$P$62,0))</f>
        <v>2.0500000000000001E-2</v>
      </c>
      <c r="G34" s="917">
        <f>INDEX(Data!$H$63:$P$91,MATCH('RFPR cover'!$C$7,Data!$B$63:$B$91,0),MATCH('R7 - RAV'!G$6,Data!$H$62:$P$62,0))</f>
        <v>1.9E-2</v>
      </c>
      <c r="H34" s="917">
        <f>INDEX(Data!$H$63:$P$91,MATCH('RFPR cover'!$C$7,Data!$B$63:$B$91,0),MATCH('R7 - RAV'!H$6,Data!$H$62:$P$62,0))</f>
        <v>1.9199999999999998E-2</v>
      </c>
      <c r="I34" s="917">
        <f>INDEX(Data!$H$63:$P$91,MATCH('RFPR cover'!$C$7,Data!$B$63:$B$91,0),MATCH('R7 - RAV'!I$6,Data!$H$62:$P$62,0))</f>
        <v>2.1100000000000001E-2</v>
      </c>
      <c r="J34" s="917">
        <f>INDEX(Data!$H$63:$P$91,MATCH('RFPR cover'!$C$7,Data!$B$63:$B$91,0),MATCH('R7 - RAV'!J$6,Data!$H$62:$P$62,0))</f>
        <v>2.29E-2</v>
      </c>
      <c r="K34" s="884"/>
      <c r="L34" s="505"/>
      <c r="M34" s="884"/>
      <c r="N34" s="884"/>
    </row>
    <row r="35" spans="1:14" s="377" customFormat="1">
      <c r="B35" s="427" t="s">
        <v>907</v>
      </c>
      <c r="C35" s="427"/>
      <c r="D35" s="427"/>
      <c r="E35" s="884" t="s">
        <v>906</v>
      </c>
      <c r="F35" s="918">
        <f>INDEX(Data!$O$63:$U$91,MATCH('RFPR cover'!$C$7,Data!$B$63:$B$91,0),MATCH('R7 - RAV'!F$6,Data!$O$62:$U$62,0))</f>
        <v>4.5181881000000007E-2</v>
      </c>
      <c r="G35" s="918">
        <f>INDEX(Data!$O$63:$U$91,MATCH('RFPR cover'!$C$7,Data!$B$63:$B$91,0),MATCH('R7 - RAV'!G$6,Data!$O$62:$U$62,0))</f>
        <v>4.5568104999999998E-2</v>
      </c>
      <c r="H35" s="918">
        <f>INDEX(Data!$O$63:$U$91,MATCH('RFPR cover'!$C$7,Data!$B$63:$B$91,0),MATCH('R7 - RAV'!H$6,Data!$O$62:$U$62,0))</f>
        <v>5.2833943999999994E-2</v>
      </c>
      <c r="I35" s="918">
        <f>INDEX(Data!$O$63:$U$91,MATCH('RFPR cover'!$C$7,Data!$B$63:$B$91,0),MATCH('R7 - RAV'!I$6,Data!$O$62:$U$62,0))</f>
        <v>5.5875458000000003E-2</v>
      </c>
      <c r="J35" s="918">
        <f>INDEX(Data!$O$63:$U$91,MATCH('RFPR cover'!$C$7,Data!$B$63:$B$91,0),MATCH('R7 - RAV'!J$6,Data!$O$62:$U$62,0))</f>
        <v>5.5175426999999992E-2</v>
      </c>
      <c r="K35" s="884"/>
      <c r="L35" s="505"/>
      <c r="M35" s="884"/>
      <c r="N35" s="884"/>
    </row>
    <row r="36" spans="1:14">
      <c r="A36" s="377"/>
      <c r="B36" s="427" t="s">
        <v>908</v>
      </c>
      <c r="C36" s="427"/>
      <c r="D36" s="427"/>
      <c r="E36" s="884" t="s">
        <v>484</v>
      </c>
      <c r="F36" s="919">
        <f t="shared" ref="F36:J36" si="6">Notional_Gearing</f>
        <v>0.6</v>
      </c>
      <c r="G36" s="919">
        <f t="shared" si="6"/>
        <v>0.6</v>
      </c>
      <c r="H36" s="919">
        <f t="shared" si="6"/>
        <v>0.6</v>
      </c>
      <c r="I36" s="919">
        <f t="shared" si="6"/>
        <v>0.6</v>
      </c>
      <c r="J36" s="919">
        <f t="shared" si="6"/>
        <v>0.6</v>
      </c>
      <c r="K36" s="884"/>
      <c r="L36" s="505"/>
      <c r="M36" s="884"/>
      <c r="N36" s="884"/>
    </row>
    <row r="37" spans="1:14">
      <c r="B37" s="136" t="s">
        <v>909</v>
      </c>
      <c r="E37" s="884" t="s">
        <v>906</v>
      </c>
      <c r="F37" s="920">
        <f t="shared" ref="F37:J37" si="7">F34*F36+F35*(1-F36)</f>
        <v>3.0372752400000001E-2</v>
      </c>
      <c r="G37" s="921">
        <f t="shared" si="7"/>
        <v>2.9627241999999998E-2</v>
      </c>
      <c r="H37" s="921">
        <f t="shared" si="7"/>
        <v>3.2653577599999997E-2</v>
      </c>
      <c r="I37" s="921">
        <f t="shared" si="7"/>
        <v>3.5010183200000003E-2</v>
      </c>
      <c r="J37" s="921">
        <f t="shared" si="7"/>
        <v>3.5810170799999999E-2</v>
      </c>
      <c r="K37" s="884"/>
      <c r="L37" s="505"/>
      <c r="M37" s="884"/>
      <c r="N37" s="884"/>
    </row>
    <row r="38" spans="1:14" s="377" customFormat="1">
      <c r="A38" s="136"/>
      <c r="B38" s="136"/>
      <c r="C38" s="136"/>
      <c r="D38" s="136"/>
      <c r="E38" s="902"/>
      <c r="F38" s="903"/>
      <c r="G38" s="903"/>
      <c r="H38" s="903"/>
      <c r="I38" s="903"/>
      <c r="J38" s="903"/>
      <c r="K38" s="884"/>
      <c r="L38" s="505"/>
      <c r="M38" s="884"/>
      <c r="N38" s="884"/>
    </row>
    <row r="39" spans="1:14" s="377" customFormat="1">
      <c r="A39" s="136"/>
      <c r="B39" s="94" t="s">
        <v>910</v>
      </c>
      <c r="C39" s="94"/>
      <c r="D39" s="94"/>
      <c r="E39" s="884" t="str">
        <f>Data!$C$9</f>
        <v>£m 18/19</v>
      </c>
      <c r="F39" s="18">
        <f>F41*F36</f>
        <v>2298.0995272530449</v>
      </c>
      <c r="G39" s="19">
        <f t="shared" ref="G39:J39" si="8">G41*G36</f>
        <v>2304.3448079500977</v>
      </c>
      <c r="H39" s="19">
        <f t="shared" si="8"/>
        <v>2308.5975366778516</v>
      </c>
      <c r="I39" s="19">
        <f t="shared" si="8"/>
        <v>2326.8133153964541</v>
      </c>
      <c r="J39" s="19">
        <f t="shared" si="8"/>
        <v>2354.4936284599607</v>
      </c>
      <c r="K39" s="884"/>
      <c r="L39" s="505"/>
      <c r="M39" s="884"/>
      <c r="N39" s="884"/>
    </row>
    <row r="40" spans="1:14" s="377" customFormat="1">
      <c r="A40" s="136"/>
      <c r="B40" s="94" t="s">
        <v>911</v>
      </c>
      <c r="C40" s="94"/>
      <c r="D40" s="94"/>
      <c r="E40" s="884" t="str">
        <f>Data!$C$9</f>
        <v>£m 18/19</v>
      </c>
      <c r="F40" s="79">
        <f>F41*(1-F36)</f>
        <v>1532.0663515020301</v>
      </c>
      <c r="G40" s="80">
        <f t="shared" ref="G40:J40" si="9">G41*(1-G36)</f>
        <v>1536.2298719667319</v>
      </c>
      <c r="H40" s="80">
        <f t="shared" si="9"/>
        <v>1539.0650244519013</v>
      </c>
      <c r="I40" s="80">
        <f t="shared" si="9"/>
        <v>1551.2088769309694</v>
      </c>
      <c r="J40" s="80">
        <f t="shared" si="9"/>
        <v>1569.6624189733072</v>
      </c>
      <c r="K40" s="884"/>
      <c r="L40" s="505"/>
      <c r="M40" s="884"/>
      <c r="N40" s="884"/>
    </row>
    <row r="41" spans="1:14" s="377" customFormat="1">
      <c r="A41" s="136"/>
      <c r="B41" s="136" t="s">
        <v>912</v>
      </c>
      <c r="C41" s="136"/>
      <c r="D41" s="136"/>
      <c r="E41" s="884" t="str">
        <f>Data!$C$9</f>
        <v>£m 18/19</v>
      </c>
      <c r="F41" s="21">
        <f>AVERAGE(F17,F24*(1/(1+F37)))</f>
        <v>3830.165878755075</v>
      </c>
      <c r="G41" s="21">
        <f t="shared" ref="G41:J41" si="10">AVERAGE(G17,G24*(1/(1+G37)))</f>
        <v>3840.5746799168296</v>
      </c>
      <c r="H41" s="21">
        <f t="shared" si="10"/>
        <v>3847.6625611297532</v>
      </c>
      <c r="I41" s="21">
        <f t="shared" si="10"/>
        <v>3878.0221923274235</v>
      </c>
      <c r="J41" s="21">
        <f t="shared" si="10"/>
        <v>3924.1560474332678</v>
      </c>
      <c r="K41" s="884"/>
      <c r="L41" s="505"/>
      <c r="M41" s="884"/>
      <c r="N41" s="884"/>
    </row>
    <row r="42" spans="1:14" s="377" customFormat="1">
      <c r="A42" s="136"/>
      <c r="B42" s="136"/>
      <c r="C42" s="136"/>
      <c r="D42" s="136"/>
      <c r="E42" s="884"/>
      <c r="F42" s="884"/>
      <c r="G42" s="884"/>
      <c r="H42" s="884"/>
      <c r="I42" s="884"/>
      <c r="J42" s="884"/>
      <c r="K42" s="884"/>
      <c r="L42" s="505"/>
      <c r="M42" s="884"/>
      <c r="N42" s="884"/>
    </row>
    <row r="43" spans="1:14" s="377" customFormat="1">
      <c r="A43" s="136"/>
      <c r="B43" s="94" t="s">
        <v>913</v>
      </c>
      <c r="C43" s="94"/>
      <c r="D43" s="94"/>
      <c r="E43" s="884" t="str">
        <f>Data!$C$9</f>
        <v>£m 18/19</v>
      </c>
      <c r="F43" s="176">
        <f>F34*F39</f>
        <v>47.111040308687421</v>
      </c>
      <c r="G43" s="177">
        <f t="shared" ref="G43:J44" si="11">G34*G39</f>
        <v>43.782551351051858</v>
      </c>
      <c r="H43" s="177">
        <f t="shared" si="11"/>
        <v>44.325072704214747</v>
      </c>
      <c r="I43" s="177">
        <f t="shared" si="11"/>
        <v>49.095760954865185</v>
      </c>
      <c r="J43" s="177">
        <f t="shared" si="11"/>
        <v>53.917904091733099</v>
      </c>
      <c r="K43" s="884"/>
      <c r="L43" s="505"/>
      <c r="M43" s="884"/>
      <c r="N43" s="884"/>
    </row>
    <row r="44" spans="1:14">
      <c r="B44" s="94" t="s">
        <v>914</v>
      </c>
      <c r="C44" s="94"/>
      <c r="D44" s="94"/>
      <c r="E44" s="884" t="str">
        <f>Data!$C$9</f>
        <v>£m 18/19</v>
      </c>
      <c r="F44" s="15">
        <f>F35*F40</f>
        <v>69.22163957766891</v>
      </c>
      <c r="G44" s="16">
        <f t="shared" si="11"/>
        <v>70.0030841099166</v>
      </c>
      <c r="H44" s="16">
        <f t="shared" si="11"/>
        <v>81.314875314250372</v>
      </c>
      <c r="I44" s="16">
        <f t="shared" si="11"/>
        <v>86.67450645218355</v>
      </c>
      <c r="J44" s="16">
        <f t="shared" si="11"/>
        <v>86.606794212705111</v>
      </c>
      <c r="K44" s="884"/>
      <c r="L44" s="505"/>
      <c r="M44" s="884"/>
      <c r="N44" s="884"/>
    </row>
    <row r="45" spans="1:14">
      <c r="B45" s="136" t="s">
        <v>915</v>
      </c>
      <c r="E45" s="884" t="str">
        <f>Data!$C$9</f>
        <v>£m 18/19</v>
      </c>
      <c r="F45" s="21">
        <f>SUM(F43:F44)</f>
        <v>116.33267988635633</v>
      </c>
      <c r="G45" s="22">
        <f t="shared" ref="G45:J45" si="12">SUM(G43:G44)</f>
        <v>113.78563546096845</v>
      </c>
      <c r="H45" s="22">
        <f t="shared" si="12"/>
        <v>125.63994801846512</v>
      </c>
      <c r="I45" s="22">
        <f t="shared" si="12"/>
        <v>135.77026740704872</v>
      </c>
      <c r="J45" s="22">
        <f t="shared" si="12"/>
        <v>140.5246983044382</v>
      </c>
      <c r="K45" s="884"/>
      <c r="L45" s="505"/>
      <c r="M45" s="884"/>
      <c r="N45" s="884"/>
    </row>
    <row r="46" spans="1:14">
      <c r="K46" s="884"/>
      <c r="L46" s="505"/>
      <c r="M46" s="884"/>
      <c r="N46" s="884"/>
    </row>
    <row r="47" spans="1:14">
      <c r="B47" s="94"/>
      <c r="C47" s="94"/>
      <c r="D47" s="94"/>
      <c r="E47" s="29"/>
      <c r="F47" s="608"/>
      <c r="G47" s="608"/>
      <c r="H47" s="608"/>
      <c r="I47" s="608"/>
      <c r="J47" s="608"/>
      <c r="K47" s="884"/>
      <c r="L47" s="505"/>
      <c r="M47" s="884"/>
      <c r="N47" s="884"/>
    </row>
    <row r="48" spans="1:14">
      <c r="B48" s="94"/>
      <c r="C48" s="94"/>
      <c r="D48" s="94"/>
      <c r="E48" s="29"/>
      <c r="F48" s="608"/>
      <c r="G48" s="608"/>
      <c r="H48" s="608"/>
      <c r="I48" s="608"/>
      <c r="J48" s="608"/>
      <c r="K48" s="884"/>
      <c r="L48" s="505"/>
      <c r="M48" s="884"/>
      <c r="N48" s="884"/>
    </row>
    <row r="49" spans="2:14">
      <c r="E49" s="29"/>
      <c r="F49" s="904"/>
      <c r="G49" s="904"/>
      <c r="H49" s="904"/>
      <c r="I49" s="904"/>
      <c r="J49" s="904"/>
      <c r="K49" s="884"/>
      <c r="L49" s="505"/>
      <c r="M49" s="884"/>
      <c r="N49" s="884"/>
    </row>
    <row r="50" spans="2:14">
      <c r="E50" s="884"/>
      <c r="F50" s="884"/>
      <c r="G50" s="884"/>
      <c r="H50" s="884"/>
      <c r="I50" s="884"/>
      <c r="J50" s="884"/>
      <c r="K50" s="884"/>
      <c r="L50" s="505"/>
      <c r="M50" s="884"/>
      <c r="N50" s="884"/>
    </row>
    <row r="54" spans="2:14">
      <c r="E54" s="136"/>
      <c r="M54" s="136"/>
    </row>
    <row r="55" spans="2:14">
      <c r="E55" s="136"/>
      <c r="M55" s="136"/>
    </row>
    <row r="56" spans="2:14">
      <c r="B56" s="94"/>
      <c r="C56" s="94"/>
      <c r="D56" s="94"/>
      <c r="E56" s="29"/>
      <c r="F56" s="608"/>
      <c r="G56" s="608"/>
      <c r="H56" s="608"/>
      <c r="I56" s="608"/>
      <c r="J56" s="608"/>
      <c r="K56" s="467"/>
    </row>
    <row r="57" spans="2:14">
      <c r="B57" s="94"/>
      <c r="C57" s="94"/>
      <c r="D57" s="94"/>
      <c r="E57" s="29"/>
      <c r="F57" s="904"/>
      <c r="G57" s="904"/>
      <c r="H57" s="904"/>
      <c r="I57" s="904"/>
      <c r="J57" s="904"/>
    </row>
    <row r="58" spans="2:14">
      <c r="E58" s="29"/>
      <c r="F58" s="608"/>
      <c r="G58" s="608"/>
      <c r="H58" s="608"/>
      <c r="I58" s="608"/>
      <c r="J58" s="608"/>
    </row>
    <row r="59" spans="2:14">
      <c r="B59" s="467"/>
      <c r="C59" s="467"/>
      <c r="D59" s="467"/>
      <c r="E59" s="40"/>
      <c r="F59" s="40"/>
      <c r="G59" s="40"/>
      <c r="H59" s="40"/>
      <c r="I59" s="40"/>
      <c r="J59" s="40"/>
    </row>
    <row r="60" spans="2:14">
      <c r="B60" s="467"/>
      <c r="C60" s="467"/>
      <c r="D60" s="467"/>
      <c r="E60" s="40"/>
      <c r="F60" s="40"/>
      <c r="G60" s="40"/>
      <c r="H60" s="40"/>
      <c r="I60" s="40"/>
      <c r="J60" s="40"/>
    </row>
    <row r="61" spans="2:14">
      <c r="B61" s="467"/>
      <c r="C61" s="467"/>
      <c r="D61" s="467"/>
      <c r="E61" s="40"/>
      <c r="F61" s="40"/>
      <c r="G61" s="40"/>
      <c r="H61" s="40"/>
      <c r="I61" s="40"/>
      <c r="J61" s="40"/>
    </row>
    <row r="64" spans="2:14">
      <c r="B64" s="467"/>
      <c r="C64" s="467"/>
      <c r="D64" s="467"/>
      <c r="E64" s="40"/>
      <c r="F64" s="40"/>
      <c r="G64" s="40"/>
      <c r="H64" s="40"/>
      <c r="I64" s="40"/>
      <c r="J64" s="40"/>
    </row>
  </sheetData>
  <sheetProtection insertRows="0" sort="0" autoFilter="0" pivotTables="0"/>
  <conditionalFormatting sqref="F5:J5 F6:I6">
    <cfRule type="expression" dxfId="34" priority="15">
      <formula>AND(F$5="Actuals",G$5="Forecast")</formula>
    </cfRule>
  </conditionalFormatting>
  <conditionalFormatting sqref="F7:J7">
    <cfRule type="expression" dxfId="33" priority="1">
      <formula>AND(F$5="Actuals",G$5="Forecast")</formula>
    </cfRule>
  </conditionalFormatting>
  <conditionalFormatting sqref="J6">
    <cfRule type="expression" dxfId="3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3.5"/>
  <cols>
    <col min="1" max="1" width="8.3828125" style="136" customWidth="1"/>
    <col min="2" max="2" width="54.765625" style="136" customWidth="1"/>
    <col min="3" max="3" width="1.765625" style="136" customWidth="1"/>
    <col min="4" max="4" width="14.15234375" style="136" customWidth="1"/>
    <col min="5" max="9" width="11.15234375" style="136" customWidth="1"/>
    <col min="10" max="10" width="7.765625" style="136" customWidth="1"/>
    <col min="11" max="16384" width="9" style="136"/>
  </cols>
  <sheetData>
    <row r="1" spans="1:20" ht="20">
      <c r="A1" s="362" t="s">
        <v>269</v>
      </c>
      <c r="B1" s="364"/>
      <c r="C1" s="364"/>
      <c r="D1" s="365"/>
      <c r="E1" s="365"/>
      <c r="F1" s="365"/>
      <c r="G1" s="365"/>
      <c r="H1" s="365"/>
      <c r="I1" s="365"/>
      <c r="J1" s="494"/>
    </row>
    <row r="2" spans="1:20" ht="20">
      <c r="A2" s="367" t="str">
        <f>Licensee</f>
        <v>SGN - Southern</v>
      </c>
      <c r="B2" s="370"/>
      <c r="C2" s="370"/>
      <c r="D2" s="370"/>
      <c r="E2" s="370"/>
      <c r="F2" s="370"/>
      <c r="G2" s="370"/>
      <c r="H2" s="370"/>
      <c r="I2" s="370"/>
      <c r="J2" s="372"/>
    </row>
    <row r="3" spans="1:20" ht="20">
      <c r="A3" s="369">
        <f>Reporting_Year</f>
        <v>2024</v>
      </c>
      <c r="B3" s="373"/>
      <c r="C3" s="373"/>
      <c r="D3" s="373"/>
      <c r="E3" s="922"/>
      <c r="F3" s="922"/>
      <c r="G3" s="922"/>
      <c r="H3" s="922"/>
      <c r="I3" s="922"/>
      <c r="J3" s="375"/>
    </row>
    <row r="4" spans="1:20" ht="12.75" customHeight="1">
      <c r="A4" s="923"/>
      <c r="B4" s="924"/>
      <c r="C4" s="924"/>
      <c r="D4" s="923"/>
      <c r="E4" s="923"/>
      <c r="F4" s="923"/>
      <c r="G4" s="923"/>
      <c r="H4" s="923"/>
      <c r="I4" s="923"/>
      <c r="J4" s="923"/>
      <c r="K4" s="924"/>
    </row>
    <row r="5" spans="1:20" s="377" customFormat="1">
      <c r="B5" s="517"/>
      <c r="C5" s="517"/>
      <c r="D5" s="517"/>
      <c r="E5" s="376" t="str">
        <f>IF(E6+1&lt;=Reporting_Year,"Actuals","Forecast")</f>
        <v>Actuals</v>
      </c>
      <c r="F5" s="376" t="str">
        <f>IF(F6+1&lt;=Reporting_Year,"Actuals","Forecast")</f>
        <v>Actuals</v>
      </c>
      <c r="G5" s="376" t="str">
        <f>IF(G6+1&lt;=Reporting_Year,"Actuals","Forecast")</f>
        <v>Forecast</v>
      </c>
      <c r="H5" s="376" t="str">
        <f>IF(H6+1&lt;=Reporting_Year,"Actuals","Forecast")</f>
        <v>Forecast</v>
      </c>
      <c r="I5" s="376" t="str">
        <f>IF(I6+1&lt;=Reporting_Year,"Actuals","Forecast")</f>
        <v>Forecast</v>
      </c>
    </row>
    <row r="6" spans="1:20" s="377" customFormat="1">
      <c r="E6" s="495">
        <f>'RFPR cover'!$C$6</f>
        <v>2022</v>
      </c>
      <c r="F6" s="496">
        <f>E6+1</f>
        <v>2023</v>
      </c>
      <c r="G6" s="496">
        <f t="shared" ref="G6:I6" si="0">F6+1</f>
        <v>2024</v>
      </c>
      <c r="H6" s="496">
        <f t="shared" si="0"/>
        <v>2025</v>
      </c>
      <c r="I6" s="496">
        <f t="shared" si="0"/>
        <v>2026</v>
      </c>
    </row>
    <row r="7" spans="1:20" s="377" customFormat="1">
      <c r="E7" s="495" t="str">
        <f>RIIO_2_start_date-1&amp;"/"&amp;RIGHT(RIIO_2_start_date,2)</f>
        <v>2021/22</v>
      </c>
      <c r="F7" s="495" t="str">
        <f>RIIO_2_start_date&amp;"/"&amp;RIGHT(RIIO_2_start_date+1,2)</f>
        <v>2022/23</v>
      </c>
      <c r="G7" s="495" t="str">
        <f>RIIO_2_start_date+1&amp;"/"&amp;RIGHT(RIIO_2_start_date+2,2)</f>
        <v>2023/24</v>
      </c>
      <c r="H7" s="495" t="str">
        <f>RIIO_2_start_date+2&amp;"/"&amp;RIGHT(RIIO_2_start_date+3,2)</f>
        <v>2024/25</v>
      </c>
      <c r="I7" s="597" t="str">
        <f>RIIO_2_start_date+3&amp;"/"&amp;RIGHT(RIIO_2_start_date+4,2)</f>
        <v>2025/26</v>
      </c>
    </row>
    <row r="8" spans="1:20" s="377" customFormat="1">
      <c r="B8" s="925" t="s">
        <v>916</v>
      </c>
      <c r="C8" s="616"/>
      <c r="D8" s="617"/>
      <c r="E8" s="617"/>
      <c r="F8" s="617"/>
      <c r="G8" s="617"/>
      <c r="H8" s="617"/>
      <c r="I8" s="617"/>
    </row>
    <row r="9" spans="1:20" s="377" customFormat="1" ht="34.5" customHeight="1">
      <c r="B9" s="1455" t="s">
        <v>917</v>
      </c>
      <c r="C9" s="1455"/>
      <c r="D9" s="1455"/>
      <c r="E9" s="1455"/>
      <c r="F9" s="1455"/>
      <c r="G9" s="1455"/>
      <c r="H9" s="1455"/>
      <c r="I9" s="1455"/>
    </row>
    <row r="10" spans="1:20" s="377" customFormat="1">
      <c r="B10" s="883"/>
      <c r="C10" s="883"/>
    </row>
    <row r="11" spans="1:20" s="377" customFormat="1" ht="34.5" customHeight="1">
      <c r="B11" s="926" t="s">
        <v>918</v>
      </c>
      <c r="C11" s="467"/>
      <c r="D11" s="29" t="s">
        <v>520</v>
      </c>
      <c r="E11" s="927">
        <v>23.654549510000002</v>
      </c>
      <c r="F11" s="927">
        <v>22.791753240000027</v>
      </c>
      <c r="G11" s="927"/>
      <c r="H11" s="927"/>
      <c r="I11" s="927"/>
      <c r="J11" s="136" t="s">
        <v>919</v>
      </c>
    </row>
    <row r="12" spans="1:20" s="377" customFormat="1">
      <c r="B12" s="467"/>
      <c r="C12" s="467"/>
      <c r="D12" s="467"/>
      <c r="E12" s="467"/>
      <c r="F12" s="467"/>
      <c r="G12" s="467"/>
      <c r="H12" s="467"/>
      <c r="I12" s="467"/>
      <c r="J12" s="467"/>
      <c r="K12" s="467"/>
      <c r="L12" s="467"/>
      <c r="M12" s="467"/>
      <c r="N12" s="467"/>
      <c r="O12" s="467"/>
      <c r="P12" s="467"/>
      <c r="Q12" s="467"/>
      <c r="R12" s="467"/>
      <c r="S12" s="467"/>
      <c r="T12" s="467"/>
    </row>
    <row r="13" spans="1:20" s="377" customFormat="1">
      <c r="B13" s="467"/>
      <c r="C13" s="467"/>
      <c r="D13" s="467"/>
      <c r="E13" s="467"/>
      <c r="F13" s="467"/>
      <c r="G13" s="467"/>
      <c r="H13" s="467"/>
      <c r="I13" s="467"/>
      <c r="J13" s="467"/>
      <c r="K13" s="467"/>
      <c r="L13" s="467"/>
      <c r="M13" s="467"/>
      <c r="N13" s="467"/>
      <c r="O13" s="467"/>
      <c r="P13" s="467"/>
      <c r="Q13" s="467"/>
      <c r="R13" s="467"/>
      <c r="S13" s="467"/>
      <c r="T13" s="467"/>
    </row>
    <row r="14" spans="1:20" s="377" customFormat="1">
      <c r="B14" s="928"/>
      <c r="C14" s="467"/>
      <c r="D14" s="29"/>
      <c r="E14" s="929"/>
      <c r="F14" s="929"/>
      <c r="G14" s="929"/>
      <c r="H14" s="929"/>
      <c r="I14" s="929"/>
      <c r="J14" s="136"/>
    </row>
    <row r="15" spans="1:20">
      <c r="B15" s="467" t="s">
        <v>920</v>
      </c>
      <c r="C15" s="467"/>
      <c r="D15" s="29"/>
      <c r="E15" s="29"/>
      <c r="F15" s="29"/>
      <c r="G15" s="29"/>
      <c r="H15" s="29"/>
      <c r="I15" s="29"/>
      <c r="M15" s="377"/>
      <c r="N15" s="377"/>
    </row>
    <row r="16" spans="1:20">
      <c r="B16" s="601" t="s">
        <v>921</v>
      </c>
      <c r="C16" s="601"/>
      <c r="D16" s="29" t="s">
        <v>520</v>
      </c>
      <c r="E16" s="927"/>
      <c r="F16" s="927"/>
      <c r="G16" s="927"/>
      <c r="H16" s="927"/>
      <c r="I16" s="927"/>
      <c r="M16" s="377"/>
      <c r="N16" s="377"/>
    </row>
    <row r="17" spans="2:38">
      <c r="B17" s="601" t="s">
        <v>922</v>
      </c>
      <c r="C17" s="601"/>
      <c r="D17" s="29" t="s">
        <v>520</v>
      </c>
      <c r="E17" s="927">
        <v>-0.54</v>
      </c>
      <c r="F17" s="927">
        <v>-0.83599999999999997</v>
      </c>
      <c r="G17" s="927"/>
      <c r="H17" s="927"/>
      <c r="I17" s="927"/>
      <c r="M17" s="377"/>
      <c r="N17" s="377"/>
    </row>
    <row r="18" spans="2:38">
      <c r="B18" s="601" t="s">
        <v>923</v>
      </c>
      <c r="C18" s="601"/>
      <c r="D18" s="29" t="s">
        <v>520</v>
      </c>
      <c r="E18" s="927">
        <v>0.55799999999999994</v>
      </c>
      <c r="F18" s="927">
        <v>0.69899999999999995</v>
      </c>
      <c r="G18" s="927"/>
      <c r="H18" s="927"/>
      <c r="I18" s="927"/>
      <c r="M18" s="377"/>
      <c r="N18" s="377"/>
    </row>
    <row r="19" spans="2:38">
      <c r="B19" s="601" t="s">
        <v>924</v>
      </c>
      <c r="C19" s="601"/>
      <c r="D19" s="29" t="s">
        <v>520</v>
      </c>
      <c r="E19" s="927">
        <v>-0.74</v>
      </c>
      <c r="F19" s="927">
        <v>-0.84599999999999997</v>
      </c>
      <c r="G19" s="927"/>
      <c r="H19" s="927"/>
      <c r="I19" s="927"/>
      <c r="M19" s="377"/>
      <c r="N19" s="377"/>
    </row>
    <row r="20" spans="2:38">
      <c r="B20" s="930" t="s">
        <v>925</v>
      </c>
      <c r="C20" s="930"/>
      <c r="D20" s="29" t="s">
        <v>520</v>
      </c>
      <c r="E20" s="589">
        <v>-0.72200000000000009</v>
      </c>
      <c r="F20" s="548">
        <v>-0.98299999999999998</v>
      </c>
      <c r="G20" s="548">
        <v>0</v>
      </c>
      <c r="H20" s="548">
        <v>0</v>
      </c>
      <c r="I20" s="548">
        <v>0</v>
      </c>
      <c r="M20" s="377"/>
      <c r="N20" s="377"/>
    </row>
    <row r="21" spans="2:38">
      <c r="B21" s="601"/>
      <c r="C21" s="601"/>
      <c r="D21" s="601"/>
      <c r="E21" s="931"/>
      <c r="F21" s="931"/>
      <c r="G21" s="931"/>
      <c r="H21" s="931"/>
      <c r="I21" s="931"/>
    </row>
    <row r="22" spans="2:38">
      <c r="B22" s="467" t="s">
        <v>720</v>
      </c>
      <c r="C22" s="467"/>
      <c r="D22" s="29"/>
      <c r="E22" s="29"/>
      <c r="F22" s="270"/>
      <c r="G22" s="270"/>
      <c r="H22" s="270"/>
      <c r="I22" s="270"/>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row>
    <row r="23" spans="2:38">
      <c r="B23" s="601" t="s">
        <v>926</v>
      </c>
      <c r="C23" s="932"/>
      <c r="D23" s="29" t="s">
        <v>520</v>
      </c>
      <c r="E23" s="937">
        <v>4.253145607178719E-2</v>
      </c>
      <c r="F23" s="937">
        <v>-0.27218014090837228</v>
      </c>
      <c r="G23" s="937">
        <v>0</v>
      </c>
      <c r="H23" s="937">
        <v>0</v>
      </c>
      <c r="I23" s="937">
        <v>0</v>
      </c>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row>
    <row r="24" spans="2:38">
      <c r="B24" s="601" t="s">
        <v>927</v>
      </c>
      <c r="C24" s="601"/>
      <c r="D24" s="29" t="s">
        <v>520</v>
      </c>
      <c r="E24" s="927"/>
      <c r="F24" s="927"/>
      <c r="G24" s="927"/>
      <c r="H24" s="927"/>
      <c r="I24" s="927"/>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row>
    <row r="25" spans="2:38">
      <c r="B25" s="601" t="s">
        <v>928</v>
      </c>
      <c r="C25" s="601"/>
      <c r="D25" s="29" t="s">
        <v>520</v>
      </c>
      <c r="E25" s="927"/>
      <c r="F25" s="927"/>
      <c r="G25" s="927"/>
      <c r="H25" s="927"/>
      <c r="I25" s="927"/>
    </row>
    <row r="26" spans="2:38">
      <c r="B26" s="601" t="s">
        <v>929</v>
      </c>
      <c r="C26" s="601"/>
      <c r="D26" s="29" t="s">
        <v>520</v>
      </c>
      <c r="E26" s="927"/>
      <c r="F26" s="927"/>
      <c r="G26" s="927"/>
      <c r="H26" s="927"/>
      <c r="I26" s="927"/>
    </row>
    <row r="27" spans="2:38">
      <c r="B27" s="601" t="s">
        <v>930</v>
      </c>
      <c r="C27" s="601"/>
      <c r="D27" s="29" t="s">
        <v>520</v>
      </c>
      <c r="E27" s="927">
        <v>0.13351224</v>
      </c>
      <c r="F27" s="927">
        <v>0</v>
      </c>
      <c r="G27" s="927"/>
      <c r="H27" s="927"/>
      <c r="I27" s="927"/>
    </row>
    <row r="28" spans="2:38">
      <c r="B28" s="601" t="s">
        <v>931</v>
      </c>
      <c r="C28" s="601"/>
      <c r="D28" s="29" t="s">
        <v>520</v>
      </c>
      <c r="E28" s="927"/>
      <c r="F28" s="927"/>
      <c r="G28" s="927"/>
      <c r="H28" s="927"/>
      <c r="I28" s="927"/>
    </row>
    <row r="29" spans="2:38">
      <c r="B29" s="601" t="s">
        <v>931</v>
      </c>
      <c r="C29" s="601"/>
      <c r="D29" s="29" t="s">
        <v>520</v>
      </c>
      <c r="E29" s="927"/>
      <c r="F29" s="927"/>
      <c r="G29" s="927"/>
      <c r="H29" s="927"/>
      <c r="I29" s="927"/>
    </row>
    <row r="30" spans="2:38">
      <c r="B30" s="601" t="s">
        <v>931</v>
      </c>
      <c r="C30" s="601"/>
      <c r="D30" s="29" t="s">
        <v>520</v>
      </c>
      <c r="E30" s="927"/>
      <c r="F30" s="927"/>
      <c r="G30" s="927"/>
      <c r="H30" s="927"/>
      <c r="I30" s="927"/>
    </row>
    <row r="31" spans="2:38">
      <c r="B31" s="601" t="s">
        <v>931</v>
      </c>
      <c r="C31" s="601"/>
      <c r="D31" s="29" t="s">
        <v>520</v>
      </c>
      <c r="E31" s="927"/>
      <c r="F31" s="927"/>
      <c r="G31" s="927"/>
      <c r="H31" s="927"/>
      <c r="I31" s="927"/>
    </row>
    <row r="32" spans="2:38">
      <c r="B32" s="601" t="s">
        <v>932</v>
      </c>
      <c r="C32" s="601"/>
      <c r="D32" s="29" t="s">
        <v>520</v>
      </c>
      <c r="E32" s="927"/>
      <c r="F32" s="927"/>
      <c r="G32" s="927"/>
      <c r="H32" s="927"/>
      <c r="I32" s="927"/>
    </row>
    <row r="33" spans="2:11">
      <c r="B33" s="467" t="s">
        <v>543</v>
      </c>
      <c r="C33" s="467"/>
      <c r="D33" s="29" t="s">
        <v>520</v>
      </c>
      <c r="E33" s="937">
        <v>0.17604369607178719</v>
      </c>
      <c r="F33" s="938">
        <v>-0.27218014090837228</v>
      </c>
      <c r="G33" s="938">
        <v>0</v>
      </c>
      <c r="H33" s="938">
        <v>0</v>
      </c>
      <c r="I33" s="938">
        <v>0</v>
      </c>
    </row>
    <row r="35" spans="2:11" ht="25.5" customHeight="1">
      <c r="B35" s="824" t="s">
        <v>933</v>
      </c>
      <c r="D35" s="29" t="s">
        <v>520</v>
      </c>
      <c r="E35" s="927"/>
      <c r="F35" s="927"/>
      <c r="G35" s="927">
        <v>52.365009999999998</v>
      </c>
      <c r="H35" s="927">
        <v>15.995556086950337</v>
      </c>
      <c r="I35" s="927">
        <v>42.713383434820088</v>
      </c>
    </row>
    <row r="36" spans="2:11" ht="12.75" customHeight="1">
      <c r="B36" s="824" t="s">
        <v>934</v>
      </c>
      <c r="C36" s="824"/>
      <c r="D36" s="29" t="s">
        <v>520</v>
      </c>
      <c r="E36" s="937">
        <v>24.200505813928217</v>
      </c>
      <c r="F36" s="937">
        <v>24.046933380908399</v>
      </c>
      <c r="G36" s="937">
        <v>52.365009999999998</v>
      </c>
      <c r="H36" s="937">
        <v>15.995556086950337</v>
      </c>
      <c r="I36" s="937">
        <v>42.713383434820088</v>
      </c>
    </row>
    <row r="37" spans="2:11" ht="12.75" customHeight="1">
      <c r="B37" s="602"/>
      <c r="C37" s="602"/>
      <c r="D37" s="29"/>
      <c r="E37" s="929"/>
      <c r="F37" s="929"/>
      <c r="G37" s="929"/>
      <c r="H37" s="929"/>
      <c r="I37" s="929"/>
    </row>
    <row r="38" spans="2:11">
      <c r="B38" s="136" t="s">
        <v>674</v>
      </c>
      <c r="D38" s="158" t="s">
        <v>675</v>
      </c>
      <c r="E38" s="939">
        <v>1.0847835302284383</v>
      </c>
      <c r="F38" s="939">
        <v>1.1799638149272795</v>
      </c>
      <c r="G38" s="939">
        <v>1.2454152449594804</v>
      </c>
      <c r="H38" s="939">
        <v>1.2741504065955518</v>
      </c>
      <c r="I38" s="939">
        <v>1.2937411435491952</v>
      </c>
    </row>
    <row r="39" spans="2:11">
      <c r="B39" s="602"/>
      <c r="C39" s="602"/>
      <c r="D39" s="29"/>
      <c r="E39" s="29"/>
      <c r="F39" s="29"/>
      <c r="G39" s="29"/>
      <c r="H39" s="29"/>
      <c r="I39" s="29"/>
    </row>
    <row r="40" spans="2:11">
      <c r="B40" s="824" t="s">
        <v>935</v>
      </c>
      <c r="C40" s="824"/>
      <c r="D40" s="884" t="str">
        <f>Data!$C$9</f>
        <v>£m 18/19</v>
      </c>
      <c r="E40" s="937">
        <v>22.30906456409047</v>
      </c>
      <c r="F40" s="937">
        <v>20.379382042652214</v>
      </c>
      <c r="G40" s="937">
        <v>42.046225314757322</v>
      </c>
      <c r="H40" s="937">
        <v>12.553899448723199</v>
      </c>
      <c r="I40" s="937">
        <v>33.015401610898749</v>
      </c>
    </row>
    <row r="41" spans="2:11">
      <c r="B41" s="824"/>
      <c r="C41" s="824"/>
      <c r="D41" s="824"/>
      <c r="E41" s="824"/>
      <c r="F41" s="824"/>
      <c r="G41" s="824"/>
      <c r="H41" s="824"/>
      <c r="I41" s="824"/>
    </row>
    <row r="42" spans="2:11">
      <c r="B42" s="615" t="s">
        <v>936</v>
      </c>
      <c r="C42" s="615"/>
      <c r="D42" s="884"/>
      <c r="E42" s="884"/>
      <c r="F42" s="884"/>
      <c r="G42" s="884"/>
      <c r="H42" s="884"/>
      <c r="I42" s="884"/>
    </row>
    <row r="43" spans="2:11">
      <c r="B43" s="616" t="s">
        <v>680</v>
      </c>
      <c r="C43" s="616"/>
      <c r="D43" s="824"/>
      <c r="E43" s="824"/>
      <c r="F43" s="824"/>
      <c r="G43" s="824"/>
      <c r="H43" s="824"/>
      <c r="I43" s="824"/>
      <c r="K43" s="824"/>
    </row>
    <row r="44" spans="2:11">
      <c r="K44" s="824"/>
    </row>
    <row r="45" spans="2:11" ht="12.75" customHeight="1">
      <c r="B45" s="94" t="s">
        <v>24</v>
      </c>
      <c r="C45" s="94"/>
      <c r="D45" s="506" t="s">
        <v>484</v>
      </c>
      <c r="E45" s="126">
        <v>0.6</v>
      </c>
      <c r="F45" s="127">
        <v>0.6</v>
      </c>
      <c r="G45" s="127">
        <v>0.6</v>
      </c>
      <c r="H45" s="127">
        <v>0.6</v>
      </c>
      <c r="I45" s="127">
        <v>0.6</v>
      </c>
      <c r="K45" s="824"/>
    </row>
    <row r="46" spans="2:11" ht="12.75" customHeight="1">
      <c r="B46" s="94" t="s">
        <v>681</v>
      </c>
      <c r="C46" s="94"/>
      <c r="D46" s="506" t="s">
        <v>484</v>
      </c>
      <c r="E46" s="127">
        <v>0.69875824123206232</v>
      </c>
      <c r="F46" s="127">
        <v>0.66905016969694542</v>
      </c>
      <c r="G46" s="127">
        <v>0.65521346605810227</v>
      </c>
      <c r="H46" s="127">
        <v>0.67131271317073415</v>
      </c>
      <c r="I46" s="127">
        <v>0.68335567696932731</v>
      </c>
      <c r="K46" s="824"/>
    </row>
    <row r="47" spans="2:11" ht="12.75" customHeight="1">
      <c r="B47" s="94"/>
      <c r="C47" s="94"/>
      <c r="D47" s="506"/>
      <c r="E47" s="506"/>
      <c r="F47" s="506"/>
      <c r="G47" s="506"/>
      <c r="H47" s="506"/>
      <c r="I47" s="506"/>
      <c r="K47" s="824"/>
    </row>
    <row r="48" spans="2:11" ht="12.75" customHeight="1">
      <c r="B48" s="824" t="s">
        <v>935</v>
      </c>
      <c r="C48" s="824"/>
      <c r="D48" s="29" t="s">
        <v>520</v>
      </c>
      <c r="E48" s="937">
        <v>24.200505813928217</v>
      </c>
      <c r="F48" s="937">
        <v>24.046933380908399</v>
      </c>
      <c r="G48" s="937">
        <v>52.365009999999998</v>
      </c>
      <c r="H48" s="937">
        <v>15.995556086950337</v>
      </c>
      <c r="I48" s="937">
        <v>42.713383434820088</v>
      </c>
      <c r="K48" s="824"/>
    </row>
    <row r="49" spans="2:11">
      <c r="B49" s="94" t="s">
        <v>937</v>
      </c>
      <c r="C49" s="94"/>
      <c r="D49" s="29" t="s">
        <v>520</v>
      </c>
      <c r="E49" s="937">
        <v>0.43359062875509125</v>
      </c>
      <c r="F49" s="937">
        <v>-1.318183145748403</v>
      </c>
      <c r="G49" s="937">
        <v>-0.3853353071881358</v>
      </c>
      <c r="H49" s="937">
        <v>1.142047112138787</v>
      </c>
      <c r="I49" s="937">
        <v>2.736542418690723</v>
      </c>
      <c r="K49" s="824"/>
    </row>
    <row r="50" spans="2:11">
      <c r="B50" s="94" t="s">
        <v>938</v>
      </c>
      <c r="C50" s="94"/>
      <c r="D50" s="29" t="s">
        <v>520</v>
      </c>
      <c r="E50" s="937">
        <v>24.634096442683308</v>
      </c>
      <c r="F50" s="937">
        <v>22.728750235159996</v>
      </c>
      <c r="G50" s="937">
        <v>51.979674692811862</v>
      </c>
      <c r="H50" s="937">
        <v>17.137603199089124</v>
      </c>
      <c r="I50" s="937">
        <v>45.449925853510813</v>
      </c>
    </row>
    <row r="52" spans="2:11">
      <c r="B52" s="94" t="s">
        <v>938</v>
      </c>
      <c r="C52" s="94"/>
      <c r="D52" s="884" t="str">
        <f>Data!$C$9</f>
        <v>£m 18/19</v>
      </c>
      <c r="E52" s="937">
        <v>22.708767008562305</v>
      </c>
      <c r="F52" s="937">
        <v>19.262243424439887</v>
      </c>
      <c r="G52" s="937">
        <v>41.736822239158492</v>
      </c>
      <c r="H52" s="937">
        <v>13.450219935085766</v>
      </c>
      <c r="I52" s="937">
        <v>35.130617960270932</v>
      </c>
    </row>
    <row r="54" spans="2:11">
      <c r="B54" s="933" t="s">
        <v>939</v>
      </c>
      <c r="C54" s="933"/>
      <c r="D54" s="934"/>
      <c r="E54" s="934"/>
      <c r="F54" s="934"/>
      <c r="G54" s="934"/>
      <c r="H54" s="934"/>
      <c r="I54" s="934"/>
      <c r="K54" s="824"/>
    </row>
    <row r="55" spans="2:11" ht="12.65" customHeight="1">
      <c r="D55" s="884"/>
      <c r="E55" s="935"/>
      <c r="F55" s="935"/>
      <c r="G55" s="935"/>
      <c r="H55" s="935"/>
      <c r="I55" s="935"/>
    </row>
    <row r="56" spans="2:11">
      <c r="B56" s="136" t="s">
        <v>940</v>
      </c>
      <c r="D56" s="884" t="str">
        <f>Data!$C$9</f>
        <v>£m 18/19</v>
      </c>
      <c r="E56" s="894">
        <v>29.741485726765816</v>
      </c>
      <c r="F56" s="894">
        <v>11.862631249878424</v>
      </c>
      <c r="G56" s="894">
        <v>28.302602898843698</v>
      </c>
      <c r="H56" s="894">
        <v>32.755207634527167</v>
      </c>
      <c r="I56" s="894">
        <v>40.888239526269857</v>
      </c>
    </row>
    <row r="57" spans="2:11">
      <c r="D57" s="884"/>
      <c r="E57" s="884"/>
      <c r="F57" s="884"/>
      <c r="G57" s="884"/>
      <c r="H57" s="884"/>
      <c r="I57" s="884"/>
    </row>
    <row r="58" spans="2:11">
      <c r="B58" s="625" t="s">
        <v>689</v>
      </c>
      <c r="C58" s="625"/>
      <c r="D58" s="625"/>
      <c r="E58" s="625"/>
      <c r="F58" s="625"/>
      <c r="G58" s="625"/>
      <c r="H58" s="625"/>
      <c r="I58" s="625"/>
    </row>
    <row r="60" spans="2:11">
      <c r="B60" s="467" t="s">
        <v>941</v>
      </c>
      <c r="C60" s="467"/>
      <c r="D60" s="936" t="str">
        <f>Data!$C$9</f>
        <v>£m 18/19</v>
      </c>
      <c r="E60" s="547">
        <v>7.4324211626753467</v>
      </c>
      <c r="F60" s="547">
        <v>-8.5167507927737898</v>
      </c>
      <c r="G60" s="547">
        <v>-13.743622415913624</v>
      </c>
      <c r="H60" s="547">
        <v>20.201308185803967</v>
      </c>
      <c r="I60" s="547">
        <v>7.8728379153711074</v>
      </c>
    </row>
    <row r="61" spans="2:11">
      <c r="B61" s="467"/>
      <c r="C61" s="467"/>
      <c r="D61" s="467"/>
      <c r="E61" s="467"/>
      <c r="F61" s="467"/>
      <c r="G61" s="467"/>
      <c r="H61" s="467"/>
      <c r="I61" s="467"/>
    </row>
    <row r="62" spans="2:11">
      <c r="B62" s="467" t="s">
        <v>942</v>
      </c>
      <c r="C62" s="467"/>
      <c r="D62" s="936" t="str">
        <f>Data!$C$9</f>
        <v>£m 18/19</v>
      </c>
      <c r="E62" s="547">
        <v>7.0327187182035118</v>
      </c>
      <c r="F62" s="547">
        <v>-7.3996121745614634</v>
      </c>
      <c r="G62" s="547">
        <v>-13.434219340314794</v>
      </c>
      <c r="H62" s="547">
        <v>19.304987699441401</v>
      </c>
      <c r="I62" s="547">
        <v>5.7576215659989245</v>
      </c>
    </row>
    <row r="64" spans="2:11">
      <c r="B64" s="467" t="s">
        <v>943</v>
      </c>
      <c r="C64" s="467"/>
      <c r="D64" s="936" t="str">
        <f>Data!$C$9</f>
        <v>£m 18/19</v>
      </c>
      <c r="E64" s="547">
        <v>0.39970244447183489</v>
      </c>
      <c r="F64" s="588">
        <v>-1.1171386182123264</v>
      </c>
      <c r="G64" s="588">
        <v>-0.30940307559882996</v>
      </c>
      <c r="H64" s="588">
        <v>0.89632048636256556</v>
      </c>
      <c r="I64" s="588">
        <v>2.1152163493721829</v>
      </c>
    </row>
    <row r="66" spans="2:10">
      <c r="B66" s="136" t="s">
        <v>944</v>
      </c>
      <c r="D66" s="29" t="s">
        <v>520</v>
      </c>
      <c r="E66" s="940">
        <v>-6.6421578255504645</v>
      </c>
      <c r="F66" s="940">
        <v>-22.588064016354668</v>
      </c>
      <c r="G66" s="940">
        <v>-18.373521360172887</v>
      </c>
      <c r="H66" s="940">
        <v>-4.8880174982690443</v>
      </c>
      <c r="I66" s="940">
        <v>4.9954136568084131</v>
      </c>
      <c r="J66" s="136" t="s">
        <v>945</v>
      </c>
    </row>
    <row r="67" spans="2:10">
      <c r="B67" s="136" t="s">
        <v>944</v>
      </c>
      <c r="D67" s="884" t="str">
        <f>Data!$C$9</f>
        <v>£m 18/19</v>
      </c>
      <c r="E67" s="937">
        <v>-6.1230260604636308</v>
      </c>
      <c r="F67" s="937">
        <v>-19.143014159079748</v>
      </c>
      <c r="G67" s="937">
        <v>-14.75292793671453</v>
      </c>
      <c r="H67" s="937">
        <v>-3.8362955212874073</v>
      </c>
      <c r="I67" s="937">
        <v>3.8612157321550464</v>
      </c>
    </row>
    <row r="68" spans="2:10">
      <c r="B68" s="136" t="s">
        <v>946</v>
      </c>
      <c r="D68" s="29" t="s">
        <v>520</v>
      </c>
      <c r="E68" s="940">
        <v>-7.0757484543055558</v>
      </c>
      <c r="F68" s="940">
        <v>-21.269880870606265</v>
      </c>
      <c r="G68" s="940">
        <v>-17.988186052984751</v>
      </c>
      <c r="H68" s="940">
        <v>-6.0300646104078313</v>
      </c>
      <c r="I68" s="940">
        <v>2.2588712381176901</v>
      </c>
      <c r="J68" s="136" t="s">
        <v>945</v>
      </c>
    </row>
    <row r="69" spans="2:10">
      <c r="B69" s="136" t="s">
        <v>946</v>
      </c>
      <c r="D69" s="884" t="str">
        <f>Data!$C$9</f>
        <v>£m 18/19</v>
      </c>
      <c r="E69" s="937">
        <v>-6.522728504935464</v>
      </c>
      <c r="F69" s="937">
        <v>-18.025875540867425</v>
      </c>
      <c r="G69" s="937">
        <v>-14.443524861115698</v>
      </c>
      <c r="H69" s="937">
        <v>-4.7326160076499741</v>
      </c>
      <c r="I69" s="937">
        <v>1.7459993827828628</v>
      </c>
    </row>
    <row r="70" spans="2:10">
      <c r="B70" s="136" t="s">
        <v>947</v>
      </c>
      <c r="D70" s="884" t="str">
        <f>Data!$C$9</f>
        <v>£m 18/19</v>
      </c>
      <c r="E70" s="937">
        <v>0.39970244447183312</v>
      </c>
      <c r="F70" s="937">
        <v>-1.1171386182123229</v>
      </c>
      <c r="G70" s="937">
        <v>-0.30940307559883173</v>
      </c>
      <c r="H70" s="937">
        <v>0.89632048636256689</v>
      </c>
      <c r="I70" s="937">
        <v>2.1152163493721838</v>
      </c>
    </row>
  </sheetData>
  <sheetProtection insertRows="0" sort="0" autoFilter="0" pivotTables="0"/>
  <mergeCells count="1">
    <mergeCell ref="B9:I9"/>
  </mergeCells>
  <phoneticPr fontId="261" type="noConversion"/>
  <conditionalFormatting sqref="E7:I7">
    <cfRule type="expression" dxfId="31" priority="18">
      <formula>AND(E$5="Actuals",F$5="Forecast")</formula>
    </cfRule>
  </conditionalFormatting>
  <conditionalFormatting sqref="G11:I11">
    <cfRule type="expression" dxfId="30" priority="13">
      <formula>G$5="Forecast"</formula>
    </cfRule>
  </conditionalFormatting>
  <conditionalFormatting sqref="G16:I19">
    <cfRule type="expression" dxfId="29" priority="10">
      <formula>G$5="Forecast"</formula>
    </cfRule>
  </conditionalFormatting>
  <conditionalFormatting sqref="E23:I23 G24:I32">
    <cfRule type="expression" dxfId="28" priority="16">
      <formula>E$5="Forecast"</formula>
    </cfRule>
  </conditionalFormatting>
  <conditionalFormatting sqref="E11:F11">
    <cfRule type="expression" dxfId="27" priority="3">
      <formula>E$5="Forecast"</formula>
    </cfRule>
  </conditionalFormatting>
  <conditionalFormatting sqref="E16:F19">
    <cfRule type="expression" dxfId="26" priority="2">
      <formula>E$5="Forecast"</formula>
    </cfRule>
  </conditionalFormatting>
  <conditionalFormatting sqref="E24:F32">
    <cfRule type="expression" dxfId="25"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11"/>
  <sheetViews>
    <sheetView zoomScaleNormal="100" workbookViewId="0"/>
  </sheetViews>
  <sheetFormatPr defaultColWidth="9.23046875" defaultRowHeight="14.5"/>
  <cols>
    <col min="1" max="1" width="27" style="942" customWidth="1"/>
    <col min="2" max="2" width="51.23046875" style="942" customWidth="1"/>
    <col min="3" max="3" width="14.15234375" style="942" customWidth="1"/>
    <col min="4" max="5" width="16.23046875" style="942" customWidth="1"/>
    <col min="6" max="6" width="2.15234375" style="942" customWidth="1"/>
    <col min="7" max="7" width="76.4609375" style="942" bestFit="1" customWidth="1"/>
    <col min="8" max="8" width="15.61328125" style="942" customWidth="1"/>
    <col min="9" max="9" width="3.23046875" style="942" customWidth="1"/>
    <col min="10" max="11" width="17.4609375" style="942" customWidth="1"/>
    <col min="12" max="12" width="56.23046875" style="942" customWidth="1"/>
    <col min="13" max="14" width="2.23046875" style="942" customWidth="1"/>
    <col min="15" max="16384" width="9.23046875" style="942"/>
  </cols>
  <sheetData>
    <row r="1" spans="1:14" ht="20">
      <c r="A1" s="362" t="s">
        <v>948</v>
      </c>
      <c r="B1" s="362"/>
      <c r="C1" s="369"/>
      <c r="D1" s="369"/>
      <c r="E1" s="369"/>
      <c r="F1" s="941"/>
      <c r="G1" s="369"/>
      <c r="H1" s="369"/>
      <c r="J1" s="369"/>
      <c r="K1" s="943"/>
      <c r="L1" s="369"/>
      <c r="N1" s="944"/>
    </row>
    <row r="2" spans="1:14" ht="20">
      <c r="A2" s="369"/>
      <c r="B2" s="369"/>
      <c r="C2" s="369"/>
      <c r="D2" s="369"/>
      <c r="E2" s="369"/>
      <c r="F2" s="941"/>
      <c r="G2" s="369"/>
      <c r="H2" s="369"/>
      <c r="J2" s="369"/>
      <c r="K2" s="943"/>
      <c r="L2" s="369"/>
      <c r="N2" s="944"/>
    </row>
    <row r="3" spans="1:14" ht="20">
      <c r="A3" s="369" t="s">
        <v>949</v>
      </c>
      <c r="B3" s="369" t="str">
        <f>Licensee</f>
        <v>SGN - Southern</v>
      </c>
      <c r="C3" s="369"/>
      <c r="D3" s="369"/>
      <c r="E3" s="369"/>
      <c r="F3" s="941"/>
      <c r="G3" s="369"/>
      <c r="H3" s="369"/>
      <c r="J3" s="369"/>
      <c r="K3" s="943"/>
      <c r="L3" s="369"/>
      <c r="N3" s="944"/>
    </row>
    <row r="4" spans="1:14" ht="20">
      <c r="A4" s="369" t="s">
        <v>6</v>
      </c>
      <c r="B4" s="369" t="str">
        <f>Sector</f>
        <v>GD2</v>
      </c>
      <c r="C4" s="369"/>
      <c r="D4" s="369"/>
      <c r="E4" s="369"/>
      <c r="F4" s="941"/>
      <c r="G4" s="369"/>
      <c r="H4" s="369"/>
      <c r="J4" s="369"/>
      <c r="K4" s="943"/>
      <c r="L4" s="369"/>
      <c r="N4" s="944"/>
    </row>
    <row r="5" spans="1:14" ht="20">
      <c r="A5" s="369" t="s">
        <v>950</v>
      </c>
      <c r="B5" s="945">
        <f>INDEX(Data!$C$17:$N$17,MATCH($B$6,Data!$C$18:$N$18,0))</f>
        <v>45016</v>
      </c>
      <c r="C5" s="369"/>
      <c r="D5" s="369"/>
      <c r="E5" s="369"/>
      <c r="F5" s="941"/>
      <c r="G5" s="369"/>
      <c r="H5" s="369"/>
      <c r="J5" s="369"/>
      <c r="K5" s="943"/>
      <c r="L5" s="369"/>
      <c r="N5" s="944"/>
    </row>
    <row r="6" spans="1:14" ht="20">
      <c r="A6" s="369" t="s">
        <v>36</v>
      </c>
      <c r="B6" s="369">
        <f>Reporting_Year-1</f>
        <v>2023</v>
      </c>
      <c r="C6" s="369"/>
      <c r="D6" s="369"/>
      <c r="E6" s="369"/>
      <c r="F6" s="941"/>
      <c r="G6" s="369"/>
      <c r="H6" s="369"/>
      <c r="J6" s="369"/>
      <c r="K6" s="943"/>
      <c r="L6" s="369"/>
      <c r="N6" s="944"/>
    </row>
    <row r="7" spans="1:14" ht="28.5" customHeight="1">
      <c r="A7" s="1462" t="s">
        <v>951</v>
      </c>
      <c r="B7" s="1462"/>
      <c r="C7" s="369"/>
      <c r="D7" s="369"/>
      <c r="E7" s="369"/>
      <c r="F7" s="941"/>
      <c r="G7" s="369"/>
      <c r="H7" s="943"/>
      <c r="J7" s="369"/>
      <c r="K7" s="943"/>
      <c r="L7" s="369"/>
      <c r="N7" s="944"/>
    </row>
    <row r="8" spans="1:14" ht="86.25" customHeight="1">
      <c r="A8" s="1463" t="s">
        <v>952</v>
      </c>
      <c r="B8" s="1464"/>
      <c r="C8" s="1456" t="s">
        <v>953</v>
      </c>
      <c r="D8" s="946" t="s">
        <v>954</v>
      </c>
      <c r="E8" s="946" t="s">
        <v>955</v>
      </c>
      <c r="F8" s="947"/>
      <c r="G8" s="1467" t="s">
        <v>956</v>
      </c>
      <c r="H8" s="948" t="s">
        <v>957</v>
      </c>
      <c r="I8" s="947"/>
      <c r="J8" s="948" t="s">
        <v>958</v>
      </c>
      <c r="K8" s="948" t="s">
        <v>959</v>
      </c>
      <c r="L8" s="1456" t="s">
        <v>960</v>
      </c>
      <c r="N8" s="944"/>
    </row>
    <row r="9" spans="1:14" ht="15.65" customHeight="1">
      <c r="A9" s="1465"/>
      <c r="B9" s="1466"/>
      <c r="C9" s="1457"/>
      <c r="D9" s="949" t="s">
        <v>705</v>
      </c>
      <c r="E9" s="949" t="s">
        <v>705</v>
      </c>
      <c r="F9" s="950"/>
      <c r="G9" s="1468"/>
      <c r="H9" s="949" t="s">
        <v>961</v>
      </c>
      <c r="I9" s="950"/>
      <c r="J9" s="949" t="s">
        <v>705</v>
      </c>
      <c r="K9" s="949" t="s">
        <v>705</v>
      </c>
      <c r="L9" s="1457"/>
      <c r="N9" s="944"/>
    </row>
    <row r="10" spans="1:14" ht="15.65" customHeight="1">
      <c r="A10" s="951"/>
      <c r="B10" s="951"/>
      <c r="C10" s="951"/>
      <c r="D10" s="950"/>
      <c r="E10" s="950"/>
      <c r="F10" s="950"/>
      <c r="G10" s="952"/>
      <c r="H10" s="950"/>
      <c r="I10" s="950"/>
      <c r="J10" s="950"/>
      <c r="K10" s="950"/>
      <c r="L10" s="951"/>
      <c r="N10" s="944"/>
    </row>
    <row r="11" spans="1:14" ht="29">
      <c r="A11" s="951" t="s">
        <v>962</v>
      </c>
      <c r="B11" s="953" t="str">
        <f>IF(AND(D11="",E11=""),"No Filing Date",IF(AND(D11="",E11&lt;&gt;""),"Enter Original Filing Date",IF(AND(D11&lt;&gt;"",E11=""),"Original Filing","Re-filed")))</f>
        <v>Original Filing</v>
      </c>
      <c r="C11" s="951"/>
      <c r="D11" s="954">
        <v>45379</v>
      </c>
      <c r="E11" s="954"/>
      <c r="F11" s="950"/>
      <c r="G11" s="952"/>
      <c r="H11" s="950"/>
      <c r="I11" s="950"/>
      <c r="J11" s="955"/>
      <c r="K11" s="955"/>
      <c r="L11" s="951"/>
      <c r="N11" s="944"/>
    </row>
    <row r="12" spans="1:14" s="957" customFormat="1" ht="17.5" customHeight="1">
      <c r="A12" s="956"/>
      <c r="I12" s="950"/>
      <c r="J12" s="955"/>
      <c r="K12" s="955"/>
      <c r="N12" s="958"/>
    </row>
    <row r="13" spans="1:14" ht="15.65" customHeight="1">
      <c r="A13" s="1458" t="s">
        <v>963</v>
      </c>
      <c r="B13" s="1459"/>
      <c r="D13" s="1052">
        <v>0.19</v>
      </c>
      <c r="E13" s="1052">
        <v>0.19</v>
      </c>
      <c r="F13" s="959"/>
      <c r="G13" s="959"/>
      <c r="H13" s="1052">
        <v>0.19</v>
      </c>
      <c r="I13" s="950"/>
      <c r="J13" s="955"/>
      <c r="K13" s="955"/>
      <c r="N13" s="944"/>
    </row>
    <row r="14" spans="1:14" ht="15.65" customHeight="1">
      <c r="B14" s="961"/>
      <c r="D14" s="959"/>
      <c r="E14" s="959"/>
      <c r="F14" s="959"/>
      <c r="G14" s="959"/>
      <c r="H14" s="959"/>
      <c r="I14" s="950"/>
      <c r="J14" s="960"/>
      <c r="K14" s="962"/>
      <c r="N14" s="944"/>
    </row>
    <row r="15" spans="1:14" ht="15.65" customHeight="1">
      <c r="A15" s="963"/>
      <c r="B15" s="963"/>
      <c r="C15" s="964"/>
      <c r="D15" s="965"/>
      <c r="E15" s="966"/>
      <c r="F15" s="966"/>
      <c r="G15" s="967"/>
      <c r="H15" s="968"/>
      <c r="I15" s="950"/>
      <c r="J15" s="969"/>
      <c r="K15" s="970"/>
      <c r="L15" s="971"/>
      <c r="N15" s="944"/>
    </row>
    <row r="16" spans="1:14" ht="34" customHeight="1">
      <c r="A16" s="972" t="s">
        <v>964</v>
      </c>
      <c r="B16" s="973"/>
      <c r="C16" s="964" t="s">
        <v>965</v>
      </c>
      <c r="D16" s="1053">
        <f>IFERROR(INDEX('R2 - Rec to Revenue and Profit'!$E$59:$I$59,MATCH('R8a - Tax Reconciliation'!$B$6,'R2 - Rec to Revenue and Profit'!$E$6:$I$6)),0)</f>
        <v>821.18501596999999</v>
      </c>
      <c r="E16" s="974"/>
      <c r="F16" s="966"/>
      <c r="G16" s="1161"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348">
        <v>895.27157380063977</v>
      </c>
      <c r="I16" s="950"/>
      <c r="J16" s="1061">
        <f>IF(E$11&lt;&gt;"",IF(OR(B$11="No Filing Date","Enter Filing Date",E$11&lt;D$11),"Error in Filing Date",IF('R8a - Tax Reconciliation'!B$11="Original Filing",D16-H16,E16-H16)),IF(OR(B$11="No Filing Date","Enter Filing Date"),"Error in Filing Date",IF('R8a - Tax Reconciliation'!B$11="Original Filing",D16-H16,E16-H16)))</f>
        <v>-74.086557830639777</v>
      </c>
      <c r="K16" s="976"/>
      <c r="L16" s="977" t="s">
        <v>1185</v>
      </c>
      <c r="N16" s="944"/>
    </row>
    <row r="17" spans="1:16" ht="15.65" customHeight="1">
      <c r="A17" s="1460" t="s">
        <v>966</v>
      </c>
      <c r="B17" s="1461"/>
      <c r="C17" s="964"/>
      <c r="D17" s="966"/>
      <c r="E17" s="966"/>
      <c r="F17" s="966"/>
      <c r="G17" s="967" t="str">
        <f>IF($B$4="ESO2", $B$4&amp; " " &amp;"PCFM - see Tax Allowance scetion in 'System Operator' worksheet",  $B$4&amp; " " &amp;"PCFM - see Tax Allowance in 'Finance &amp;Tax' worksheet")</f>
        <v>GD2 PCFM - see Tax Allowance in 'Finance &amp;Tax' worksheet</v>
      </c>
      <c r="H17" s="975">
        <v>-500.86922833258819</v>
      </c>
      <c r="I17" s="950"/>
      <c r="J17" s="969"/>
      <c r="K17" s="970"/>
      <c r="L17" s="977" t="s">
        <v>1186</v>
      </c>
      <c r="N17" s="944"/>
    </row>
    <row r="18" spans="1:16" ht="15.65" customHeight="1">
      <c r="A18" s="978" t="s">
        <v>967</v>
      </c>
      <c r="B18" s="979"/>
      <c r="C18" s="964"/>
      <c r="D18" s="966"/>
      <c r="E18" s="966"/>
      <c r="F18" s="966"/>
      <c r="G18" s="967" t="str">
        <f t="shared" ref="G18:G19" si="0">IF($B$4="ESO2", $B$4&amp; " " &amp;"PCFM - see Tax Allowance in 'System Operator' worksheet",  $B$4&amp; " " &amp;"PCFM - see Tax Allowance in 'Finance &amp;Tax' worksheet")</f>
        <v>GD2 PCFM - see Tax Allowance in 'Finance &amp;Tax' worksheet</v>
      </c>
      <c r="H18" s="975"/>
      <c r="I18" s="950"/>
      <c r="J18" s="969"/>
      <c r="K18" s="970"/>
      <c r="L18" s="977"/>
      <c r="N18" s="944"/>
    </row>
    <row r="19" spans="1:16" s="964" customFormat="1">
      <c r="A19" s="978" t="s">
        <v>968</v>
      </c>
      <c r="B19" s="979"/>
      <c r="D19" s="966"/>
      <c r="E19" s="966"/>
      <c r="F19" s="966"/>
      <c r="G19" s="967" t="str">
        <f t="shared" si="0"/>
        <v>GD2 PCFM - see Tax Allowance in 'Finance &amp;Tax' worksheet</v>
      </c>
      <c r="H19" s="975"/>
      <c r="I19" s="950"/>
      <c r="J19" s="969"/>
      <c r="K19" s="970"/>
      <c r="L19" s="977"/>
      <c r="M19" s="944"/>
      <c r="N19" s="944"/>
      <c r="O19" s="944"/>
      <c r="P19" s="944"/>
    </row>
    <row r="20" spans="1:16">
      <c r="A20" s="978" t="s">
        <v>969</v>
      </c>
      <c r="B20" s="979"/>
      <c r="C20" s="964" t="s">
        <v>965</v>
      </c>
      <c r="D20" s="974"/>
      <c r="E20" s="974"/>
      <c r="F20" s="966"/>
      <c r="G20" s="967"/>
      <c r="H20" s="966"/>
      <c r="I20" s="969"/>
      <c r="J20" s="969"/>
      <c r="K20" s="976"/>
      <c r="L20" s="971"/>
      <c r="N20" s="944"/>
    </row>
    <row r="21" spans="1:16">
      <c r="A21" s="978"/>
      <c r="B21" s="979"/>
      <c r="C21" s="964"/>
      <c r="D21" s="966"/>
      <c r="E21" s="966"/>
      <c r="F21" s="966"/>
      <c r="G21" s="967"/>
      <c r="H21" s="966"/>
      <c r="I21" s="969"/>
      <c r="J21" s="969"/>
      <c r="K21" s="976"/>
      <c r="L21" s="971"/>
      <c r="N21" s="944"/>
    </row>
    <row r="22" spans="1:16" ht="58">
      <c r="A22" s="980" t="s">
        <v>970</v>
      </c>
      <c r="B22" s="981"/>
      <c r="C22" s="982" t="s">
        <v>965</v>
      </c>
      <c r="D22" s="1054">
        <f>SUM(D16:D20)</f>
        <v>821.18501596999999</v>
      </c>
      <c r="E22" s="1054">
        <f>SUM(E16:E20)</f>
        <v>0</v>
      </c>
      <c r="F22" s="966"/>
      <c r="G22" s="967"/>
      <c r="H22" s="1054">
        <f>SUM(H16:H20)</f>
        <v>394.40234546805158</v>
      </c>
      <c r="I22" s="969"/>
      <c r="J22" s="1061">
        <f>IF(E$11&lt;&gt;"",IF(OR(B$11="No Filing Date","Enter Filing Date",E$11&lt;D$11),"Error in Filing Date",IF('R8a - Tax Reconciliation'!B$11="Original Filing",D22-H22,E22-H22)),IF(OR(B$11="No Filing Date","Enter Filing Date"),"Error in Filing Date",IF('R8a - Tax Reconciliation'!B$11="Original Filing",D22-H22,E22-H22)))</f>
        <v>426.78267050194842</v>
      </c>
      <c r="K22" s="976"/>
      <c r="L22" s="971" t="s">
        <v>1187</v>
      </c>
      <c r="N22" s="944"/>
    </row>
    <row r="23" spans="1:16">
      <c r="A23" s="983"/>
      <c r="B23" s="979"/>
      <c r="C23" s="964"/>
      <c r="D23" s="984"/>
      <c r="E23" s="984"/>
      <c r="F23" s="966"/>
      <c r="G23" s="967"/>
      <c r="H23" s="984"/>
      <c r="I23" s="969"/>
      <c r="J23" s="985"/>
      <c r="K23" s="986"/>
      <c r="L23" s="971"/>
      <c r="N23" s="944"/>
    </row>
    <row r="24" spans="1:16" ht="87">
      <c r="A24" s="987" t="s">
        <v>971</v>
      </c>
      <c r="B24" s="979"/>
      <c r="C24" s="964" t="s">
        <v>965</v>
      </c>
      <c r="D24" s="974">
        <v>-82.739374999999981</v>
      </c>
      <c r="E24" s="974"/>
      <c r="F24" s="966"/>
      <c r="G24" s="967" t="str">
        <f t="shared" ref="G24:G25" si="1">IF($B$4="ESO2", $B$4&amp; " " &amp;"PCFM - see Tax Allowance in 'System Operator' worksheet",  $B$4&amp; " " &amp;"PCFM - see Tax Allowance in 'Finance &amp;Tax' worksheet")</f>
        <v>GD2 PCFM - see Tax Allowance in 'Finance &amp;Tax' worksheet</v>
      </c>
      <c r="H24" s="975">
        <v>-80.822489164630611</v>
      </c>
      <c r="I24" s="969"/>
      <c r="J24" s="1061">
        <f>IF(E$11&lt;&gt;"",IF(OR(B$11="No Filing Date","Enter Filing Date",E$11&lt;D$11),"Error in Filing Date",IF('R8a - Tax Reconciliation'!B$11="Original Filing",D24-H24,E24-H24)),IF(OR(B$11="No Filing Date","Enter Filing Date"),"Error in Filing Date",IF('R8a - Tax Reconciliation'!B$11="Original Filing",D24-H24,E24-H24)))</f>
        <v>-1.9168858353693707</v>
      </c>
      <c r="K24" s="976"/>
      <c r="L24" s="977" t="s">
        <v>1188</v>
      </c>
      <c r="M24" s="944"/>
      <c r="N24" s="944"/>
      <c r="O24" s="944"/>
    </row>
    <row r="25" spans="1:16" ht="87">
      <c r="A25" s="987" t="s">
        <v>972</v>
      </c>
      <c r="B25" s="979"/>
      <c r="C25" s="964" t="s">
        <v>965</v>
      </c>
      <c r="D25" s="974">
        <v>-69.518693999999996</v>
      </c>
      <c r="E25" s="974"/>
      <c r="F25" s="966"/>
      <c r="G25" s="967" t="str">
        <f t="shared" si="1"/>
        <v>GD2 PCFM - see Tax Allowance in 'Finance &amp;Tax' worksheet</v>
      </c>
      <c r="H25" s="975">
        <v>-63.005166861656335</v>
      </c>
      <c r="I25" s="969"/>
      <c r="J25" s="1061">
        <f>IF(E$11&lt;&gt;"",IF(OR(B$11="No Filing Date","Enter Filing Date",E$11&lt;D$11),"Error in Filing Date",IF('R8a - Tax Reconciliation'!B$11="Original Filing",D25-H25,E25-H25)),IF(OR(B$11="No Filing Date","Enter Filing Date"),"Error in Filing Date",IF('R8a - Tax Reconciliation'!B$11="Original Filing",D25-H25,E25-H25)))</f>
        <v>-6.5135271383436617</v>
      </c>
      <c r="K25" s="976"/>
      <c r="L25" s="977" t="s">
        <v>1189</v>
      </c>
      <c r="M25" s="944"/>
      <c r="N25" s="944"/>
      <c r="O25" s="944"/>
    </row>
    <row r="26" spans="1:16">
      <c r="A26" s="1460" t="s">
        <v>973</v>
      </c>
      <c r="B26" s="1461"/>
      <c r="C26" s="964" t="s">
        <v>965</v>
      </c>
      <c r="D26" s="974"/>
      <c r="E26" s="974"/>
      <c r="F26" s="966"/>
      <c r="G26" s="967"/>
      <c r="H26" s="966"/>
      <c r="I26" s="969"/>
      <c r="J26" s="969"/>
      <c r="K26" s="976"/>
      <c r="L26" s="971"/>
      <c r="M26" s="944"/>
      <c r="N26" s="944"/>
      <c r="O26" s="944"/>
    </row>
    <row r="27" spans="1:16">
      <c r="A27" s="1460" t="s">
        <v>974</v>
      </c>
      <c r="B27" s="1461"/>
      <c r="C27" s="964" t="s">
        <v>965</v>
      </c>
      <c r="D27" s="974">
        <v>-3.7664240000000002</v>
      </c>
      <c r="E27" s="974"/>
      <c r="F27" s="966"/>
      <c r="G27" s="967"/>
      <c r="H27" s="966"/>
      <c r="I27" s="969"/>
      <c r="J27" s="969"/>
      <c r="K27" s="976"/>
      <c r="L27" s="971"/>
      <c r="M27" s="944"/>
      <c r="N27" s="944"/>
      <c r="O27" s="944"/>
    </row>
    <row r="28" spans="1:16">
      <c r="A28" s="978" t="s">
        <v>975</v>
      </c>
      <c r="B28" s="979"/>
      <c r="C28" s="964" t="s">
        <v>965</v>
      </c>
      <c r="D28" s="974">
        <v>-125.73262800000001</v>
      </c>
      <c r="E28" s="974"/>
      <c r="F28" s="966"/>
      <c r="G28" s="967"/>
      <c r="H28" s="966"/>
      <c r="I28" s="969"/>
      <c r="J28" s="969"/>
      <c r="K28" s="976"/>
      <c r="L28" s="971"/>
      <c r="M28" s="944"/>
      <c r="N28" s="944"/>
      <c r="O28" s="944"/>
    </row>
    <row r="29" spans="1:16">
      <c r="A29" s="978" t="s">
        <v>976</v>
      </c>
      <c r="B29" s="979"/>
      <c r="C29" s="964" t="s">
        <v>965</v>
      </c>
      <c r="D29" s="974">
        <v>-7.0177439999999986</v>
      </c>
      <c r="E29" s="974"/>
      <c r="F29" s="966"/>
      <c r="G29" s="967"/>
      <c r="H29" s="966"/>
      <c r="I29" s="969"/>
      <c r="J29" s="969"/>
      <c r="K29" s="976"/>
      <c r="L29" s="971"/>
      <c r="M29" s="944"/>
      <c r="N29" s="944"/>
      <c r="O29" s="944"/>
    </row>
    <row r="30" spans="1:16">
      <c r="A30" s="1275" t="s">
        <v>977</v>
      </c>
      <c r="B30" s="979"/>
      <c r="C30" s="964"/>
      <c r="D30" s="965"/>
      <c r="E30" s="965"/>
      <c r="F30" s="966"/>
      <c r="G30" s="967"/>
      <c r="H30" s="966"/>
      <c r="I30" s="969"/>
      <c r="J30" s="969"/>
      <c r="K30" s="976"/>
      <c r="L30" s="971"/>
      <c r="M30" s="944"/>
      <c r="N30" s="944"/>
      <c r="O30" s="944"/>
    </row>
    <row r="31" spans="1:16" ht="159.5">
      <c r="A31" s="988" t="s">
        <v>978</v>
      </c>
      <c r="B31" s="981"/>
      <c r="C31" s="982" t="s">
        <v>965</v>
      </c>
      <c r="D31" s="1054">
        <f>SUM(D22:D30)</f>
        <v>532.41015097000002</v>
      </c>
      <c r="E31" s="1054">
        <f>SUM(E22:E30)</f>
        <v>0</v>
      </c>
      <c r="F31" s="966"/>
      <c r="G31" s="989" t="s">
        <v>979</v>
      </c>
      <c r="H31" s="1054">
        <f>SUM(H22:H30)</f>
        <v>250.57468944176463</v>
      </c>
      <c r="I31" s="969"/>
      <c r="J31" s="1061">
        <f>IF(E$11&lt;&gt;"",IF(OR(B$11="No Filing Date","Enter Filing Date",E$11&lt;D$11),"Error in Filing Date",IF('R8a - Tax Reconciliation'!B$11="Original Filing",D31-H31,E31-H31)),IF(OR(B$11="No Filing Date","Enter Filing Date"),"Error in Filing Date",IF('R8a - Tax Reconciliation'!B$11="Original Filing",D31-H31,E31-H31)))</f>
        <v>281.83546152823538</v>
      </c>
      <c r="K31" s="976" t="str">
        <f>IF(OR(J31&gt;=Data!$C$10,J31&lt;=-Data!$C$10), "Material", "Immaterial")</f>
        <v>Material</v>
      </c>
      <c r="L31" s="977" t="s">
        <v>1190</v>
      </c>
      <c r="N31" s="944"/>
    </row>
    <row r="32" spans="1:16">
      <c r="A32" s="990"/>
      <c r="B32" s="963"/>
      <c r="C32" s="964"/>
      <c r="D32" s="969"/>
      <c r="E32" s="969"/>
      <c r="F32" s="966"/>
      <c r="G32" s="967"/>
      <c r="I32" s="969"/>
      <c r="J32" s="985"/>
      <c r="K32" s="986"/>
      <c r="L32" s="971"/>
      <c r="M32" s="991"/>
      <c r="N32" s="991"/>
      <c r="O32" s="991"/>
    </row>
    <row r="33" spans="1:16">
      <c r="A33" s="992" t="s">
        <v>980</v>
      </c>
      <c r="B33" s="973"/>
      <c r="C33" s="964"/>
      <c r="D33" s="965"/>
      <c r="E33" s="965"/>
      <c r="F33" s="966"/>
      <c r="G33" s="967"/>
      <c r="H33" s="966"/>
      <c r="I33" s="969"/>
      <c r="J33" s="969"/>
      <c r="K33" s="976"/>
      <c r="L33" s="971"/>
      <c r="M33" s="944"/>
      <c r="N33" s="944"/>
      <c r="O33" s="944"/>
    </row>
    <row r="34" spans="1:16">
      <c r="A34" s="978"/>
      <c r="B34" s="979"/>
      <c r="C34" s="964"/>
      <c r="D34" s="965"/>
      <c r="E34" s="965"/>
      <c r="F34" s="966"/>
      <c r="G34" s="967"/>
      <c r="H34" s="966"/>
      <c r="I34" s="969"/>
      <c r="J34" s="969"/>
      <c r="K34" s="976"/>
      <c r="L34" s="971"/>
      <c r="M34" s="944"/>
      <c r="N34" s="944"/>
      <c r="O34" s="944"/>
    </row>
    <row r="35" spans="1:16">
      <c r="A35" s="1470" t="s">
        <v>981</v>
      </c>
      <c r="B35" s="1471"/>
      <c r="D35" s="993"/>
      <c r="E35" s="993"/>
      <c r="F35" s="993"/>
      <c r="G35" s="994"/>
      <c r="H35" s="993"/>
      <c r="I35" s="993"/>
      <c r="J35" s="993"/>
      <c r="K35" s="994"/>
      <c r="L35" s="995"/>
      <c r="M35" s="982"/>
      <c r="N35" s="982"/>
      <c r="O35" s="982"/>
      <c r="P35" s="982"/>
    </row>
    <row r="36" spans="1:16">
      <c r="A36" s="1460" t="s">
        <v>977</v>
      </c>
      <c r="B36" s="1461"/>
      <c r="C36" s="964" t="s">
        <v>965</v>
      </c>
      <c r="D36" s="974"/>
      <c r="E36" s="974"/>
      <c r="F36" s="966"/>
      <c r="G36" s="967"/>
      <c r="H36" s="966"/>
      <c r="I36" s="969"/>
      <c r="J36" s="966"/>
      <c r="K36" s="967"/>
      <c r="L36" s="966"/>
      <c r="M36" s="982"/>
      <c r="N36" s="982"/>
      <c r="O36" s="982"/>
      <c r="P36" s="982"/>
    </row>
    <row r="37" spans="1:16">
      <c r="A37" s="996"/>
      <c r="B37" s="997"/>
      <c r="D37" s="993"/>
      <c r="E37" s="993"/>
      <c r="F37" s="993"/>
      <c r="I37" s="993"/>
      <c r="K37" s="994"/>
      <c r="L37" s="966"/>
      <c r="M37" s="982"/>
      <c r="N37" s="982"/>
      <c r="O37" s="982"/>
      <c r="P37" s="982"/>
    </row>
    <row r="38" spans="1:16" s="964" customFormat="1">
      <c r="A38" s="1470" t="s">
        <v>982</v>
      </c>
      <c r="B38" s="1471"/>
      <c r="C38" s="942"/>
      <c r="D38" s="993"/>
      <c r="E38" s="993"/>
      <c r="F38" s="993"/>
      <c r="G38" s="994"/>
      <c r="H38" s="993"/>
      <c r="I38" s="993"/>
      <c r="J38" s="966"/>
      <c r="K38" s="967"/>
      <c r="L38" s="966"/>
      <c r="N38" s="982"/>
    </row>
    <row r="39" spans="1:16" s="964" customFormat="1">
      <c r="A39" s="1460" t="s">
        <v>977</v>
      </c>
      <c r="B39" s="1461"/>
      <c r="C39" s="964" t="s">
        <v>965</v>
      </c>
      <c r="D39" s="974"/>
      <c r="E39" s="974"/>
      <c r="F39" s="966"/>
      <c r="G39" s="967"/>
      <c r="H39" s="966"/>
      <c r="I39" s="969"/>
      <c r="J39" s="966"/>
      <c r="K39" s="967"/>
      <c r="L39" s="966"/>
      <c r="N39" s="982"/>
    </row>
    <row r="40" spans="1:16">
      <c r="A40" s="996"/>
      <c r="B40" s="998"/>
      <c r="D40" s="993"/>
      <c r="E40" s="993"/>
      <c r="F40" s="993"/>
      <c r="G40" s="994"/>
      <c r="H40" s="993"/>
      <c r="I40" s="993"/>
      <c r="J40" s="966"/>
      <c r="K40" s="967"/>
      <c r="L40" s="966"/>
      <c r="M40" s="982"/>
      <c r="N40" s="982"/>
      <c r="O40" s="982"/>
      <c r="P40" s="982"/>
    </row>
    <row r="41" spans="1:16">
      <c r="A41" s="1470" t="s">
        <v>983</v>
      </c>
      <c r="B41" s="1471"/>
      <c r="D41" s="993"/>
      <c r="E41" s="993"/>
      <c r="F41" s="993"/>
      <c r="G41" s="994"/>
      <c r="H41" s="993"/>
      <c r="I41" s="993"/>
      <c r="J41" s="966"/>
      <c r="K41" s="967"/>
      <c r="L41" s="966"/>
      <c r="M41" s="982"/>
      <c r="N41" s="982"/>
      <c r="O41" s="982"/>
      <c r="P41" s="982"/>
    </row>
    <row r="42" spans="1:16" s="964" customFormat="1">
      <c r="A42" s="1472" t="s">
        <v>977</v>
      </c>
      <c r="B42" s="1473"/>
      <c r="C42" s="964" t="s">
        <v>965</v>
      </c>
      <c r="D42" s="974"/>
      <c r="E42" s="974"/>
      <c r="F42" s="966"/>
      <c r="G42" s="967"/>
      <c r="H42" s="966"/>
      <c r="I42" s="969"/>
      <c r="J42" s="966"/>
      <c r="K42" s="967"/>
      <c r="L42" s="966"/>
      <c r="N42" s="982"/>
    </row>
    <row r="43" spans="1:16" s="964" customFormat="1">
      <c r="A43" s="963"/>
      <c r="B43" s="963"/>
      <c r="D43" s="966"/>
      <c r="E43" s="966"/>
      <c r="F43" s="966"/>
      <c r="G43" s="967"/>
      <c r="H43" s="966"/>
      <c r="I43" s="969"/>
      <c r="J43" s="969"/>
      <c r="K43" s="976"/>
      <c r="L43" s="971"/>
      <c r="M43" s="944"/>
      <c r="N43" s="944"/>
      <c r="O43" s="944"/>
      <c r="P43" s="944"/>
    </row>
    <row r="44" spans="1:16" s="964" customFormat="1">
      <c r="A44" s="988" t="s">
        <v>984</v>
      </c>
      <c r="B44" s="981"/>
      <c r="C44" s="982" t="s">
        <v>965</v>
      </c>
      <c r="D44" s="1054">
        <f>SUM(D31:D43)</f>
        <v>532.41015097000002</v>
      </c>
      <c r="E44" s="1054">
        <f>SUM(E31:E43)</f>
        <v>0</v>
      </c>
      <c r="F44" s="966"/>
      <c r="G44" s="967"/>
      <c r="H44" s="1054">
        <f>SUM(H31:H43)</f>
        <v>250.57468944176463</v>
      </c>
      <c r="I44" s="969"/>
      <c r="J44" s="1061">
        <f>IF(E$11&lt;&gt;"",IF(OR(B$11="No Filing Date","Enter Filing Date",E$11&lt;D$11),"Error in Filing Date",IF('R8a - Tax Reconciliation'!B$11="Original Filing",D44-H44,E44-H44)),IF(OR(B$11="No Filing Date","Enter Filing Date"),"Error in Filing Date",IF('R8a - Tax Reconciliation'!B$11="Original Filing",D44-H44,E44-H44)))</f>
        <v>281.83546152823538</v>
      </c>
      <c r="K44" s="976" t="str">
        <f>IF(OR(J44&gt;=Data!$C$10,J44&lt;=-Data!$C$10), "Material", "Immaterial")</f>
        <v>Material</v>
      </c>
      <c r="L44" s="1349" t="s">
        <v>1191</v>
      </c>
      <c r="M44" s="944"/>
      <c r="N44" s="944"/>
      <c r="O44" s="944"/>
      <c r="P44" s="944"/>
    </row>
    <row r="45" spans="1:16" s="964" customFormat="1">
      <c r="A45" s="999"/>
      <c r="B45" s="999"/>
      <c r="C45" s="942"/>
      <c r="D45" s="1000"/>
      <c r="E45" s="1000"/>
      <c r="F45" s="1000"/>
      <c r="G45" s="1001"/>
      <c r="H45" s="1000"/>
      <c r="I45" s="993"/>
      <c r="J45" s="993"/>
      <c r="K45" s="994"/>
      <c r="L45" s="995"/>
      <c r="M45" s="944"/>
      <c r="N45" s="944"/>
      <c r="O45" s="944"/>
      <c r="P45" s="944"/>
    </row>
    <row r="46" spans="1:16" s="964" customFormat="1">
      <c r="A46" s="1002" t="s">
        <v>985</v>
      </c>
      <c r="B46" s="1003"/>
      <c r="C46" s="942"/>
      <c r="D46" s="1000"/>
      <c r="E46" s="1000"/>
      <c r="F46" s="1000"/>
      <c r="G46" s="1001"/>
      <c r="H46" s="1000"/>
      <c r="I46" s="993"/>
      <c r="J46" s="993"/>
      <c r="K46" s="994"/>
      <c r="L46" s="995"/>
      <c r="M46" s="944"/>
      <c r="N46" s="944"/>
      <c r="O46" s="944"/>
      <c r="P46" s="944"/>
    </row>
    <row r="47" spans="1:16" s="964" customFormat="1">
      <c r="A47" s="1004"/>
      <c r="B47" s="1005"/>
      <c r="C47" s="942"/>
      <c r="D47" s="1000"/>
      <c r="E47" s="1000"/>
      <c r="F47" s="1000"/>
      <c r="G47" s="1001"/>
      <c r="H47" s="1000"/>
      <c r="I47" s="993"/>
      <c r="J47" s="993"/>
      <c r="K47" s="994"/>
      <c r="L47" s="995"/>
      <c r="M47" s="944"/>
      <c r="N47" s="944"/>
      <c r="O47" s="944"/>
      <c r="P47" s="944"/>
    </row>
    <row r="48" spans="1:16" s="964" customFormat="1">
      <c r="A48" s="1006" t="s">
        <v>986</v>
      </c>
      <c r="B48" s="1005"/>
      <c r="C48" s="942"/>
      <c r="D48" s="1000"/>
      <c r="E48" s="1000"/>
      <c r="F48" s="1000"/>
      <c r="G48" s="1001"/>
      <c r="H48" s="1000"/>
      <c r="I48" s="993"/>
      <c r="J48" s="993"/>
      <c r="K48" s="994"/>
      <c r="L48" s="995"/>
      <c r="M48" s="944"/>
      <c r="N48" s="944"/>
      <c r="O48" s="944"/>
      <c r="P48" s="944"/>
    </row>
    <row r="49" spans="1:22" s="964" customFormat="1" ht="72.5">
      <c r="A49" s="978" t="s">
        <v>987</v>
      </c>
      <c r="B49" s="979"/>
      <c r="C49" s="964" t="s">
        <v>965</v>
      </c>
      <c r="D49" s="974">
        <v>12.410203000000001</v>
      </c>
      <c r="E49" s="974"/>
      <c r="F49" s="966"/>
      <c r="G49" s="967"/>
      <c r="H49" s="974"/>
      <c r="I49" s="969"/>
      <c r="J49" s="1061">
        <f>IF(E$11&lt;&gt;"",IF(OR(B$11="No Filing Date","Enter Filing Date",E$11&lt;D$11),"Error in Filing Date",IF('R8a - Tax Reconciliation'!B$11="Original Filing",D49-H49,E49-H49)),IF(OR(B$11="No Filing Date","Enter Filing Date"),"Error in Filing Date",IF('R8a - Tax Reconciliation'!B$11="Original Filing",D49-H49,E49-H49)))</f>
        <v>12.410203000000001</v>
      </c>
      <c r="K49" s="976" t="str">
        <f>IF(OR(J49&gt;=Data!$C$10,J49&lt;=-Data!$C$10), "Material", "Immaterial")</f>
        <v>Material</v>
      </c>
      <c r="L49" s="1350" t="s">
        <v>1192</v>
      </c>
      <c r="N49" s="982"/>
    </row>
    <row r="50" spans="1:22" s="964" customFormat="1" ht="43.5">
      <c r="A50" s="978" t="s">
        <v>988</v>
      </c>
      <c r="B50" s="979"/>
      <c r="C50" s="964" t="s">
        <v>965</v>
      </c>
      <c r="D50" s="974">
        <v>-0.29999999999999982</v>
      </c>
      <c r="E50" s="974"/>
      <c r="F50" s="966"/>
      <c r="G50" s="967"/>
      <c r="H50" s="974"/>
      <c r="I50" s="969"/>
      <c r="J50" s="1061">
        <f>IF(E$11&lt;&gt;"",IF(OR(B$11="No Filing Date","Enter Filing Date",E$11&lt;D$11),"Error in Filing Date",IF('R8a - Tax Reconciliation'!B$11="Original Filing",D50-H50,E50-H50)),IF(OR(B$11="No Filing Date","Enter Filing Date"),"Error in Filing Date",IF('R8a - Tax Reconciliation'!B$11="Original Filing",D50-H50,E50-H50)))</f>
        <v>-0.29999999999999982</v>
      </c>
      <c r="K50" s="976" t="str">
        <f>IF(OR(J50&gt;=Data!$C$10,J50&lt;=-Data!$C$10), "Material", "Immaterial")</f>
        <v>Immaterial</v>
      </c>
      <c r="L50" s="1350" t="s">
        <v>1193</v>
      </c>
      <c r="M50" s="944"/>
      <c r="N50" s="944"/>
      <c r="O50" s="944"/>
      <c r="P50" s="944"/>
    </row>
    <row r="51" spans="1:22" s="964" customFormat="1" ht="29">
      <c r="A51" s="978" t="s">
        <v>989</v>
      </c>
      <c r="B51" s="979"/>
      <c r="C51" s="964" t="s">
        <v>965</v>
      </c>
      <c r="D51" s="974">
        <v>125.73262800000001</v>
      </c>
      <c r="E51" s="974"/>
      <c r="F51" s="966"/>
      <c r="G51" s="967"/>
      <c r="H51" s="974"/>
      <c r="I51" s="969"/>
      <c r="J51" s="1061">
        <f>IF(E$11&lt;&gt;"",IF(OR(B$11="No Filing Date","Enter Filing Date",E$11&lt;D$11),"Error in Filing Date",IF('R8a - Tax Reconciliation'!B$11="Original Filing",D51-H51,E51-H51)),IF(OR(B$11="No Filing Date","Enter Filing Date"),"Error in Filing Date",IF('R8a - Tax Reconciliation'!B$11="Original Filing",D51-H51,E51-H51)))</f>
        <v>125.73262800000001</v>
      </c>
      <c r="K51" s="976" t="str">
        <f>IF(OR(J51&gt;=Data!$C$10,J51&lt;=-Data!$C$10), "Material", "Immaterial")</f>
        <v>Material</v>
      </c>
      <c r="L51" s="1350" t="s">
        <v>1194</v>
      </c>
      <c r="N51" s="982"/>
    </row>
    <row r="52" spans="1:22" ht="43.5">
      <c r="A52" s="978" t="s">
        <v>976</v>
      </c>
      <c r="B52" s="979"/>
      <c r="C52" s="964" t="s">
        <v>965</v>
      </c>
      <c r="D52" s="974">
        <v>1.0902660000000006</v>
      </c>
      <c r="E52" s="974"/>
      <c r="F52" s="966"/>
      <c r="G52" s="967"/>
      <c r="H52" s="974"/>
      <c r="I52" s="969"/>
      <c r="J52" s="1061">
        <f>IF(E$11&lt;&gt;"",IF(OR(B$11="No Filing Date","Enter Filing Date",E$11&lt;D$11),"Error in Filing Date",IF('R8a - Tax Reconciliation'!B$11="Original Filing",D52-H52,E52-H52)),IF(OR(B$11="No Filing Date","Enter Filing Date"),"Error in Filing Date",IF('R8a - Tax Reconciliation'!B$11="Original Filing",D52-H52,E52-H52)))</f>
        <v>1.0902660000000006</v>
      </c>
      <c r="K52" s="976" t="str">
        <f>IF(OR(J52&gt;=Data!$C$10,J52&lt;=-Data!$C$10), "Material", "Immaterial")</f>
        <v>Immaterial</v>
      </c>
      <c r="L52" s="1350" t="s">
        <v>1195</v>
      </c>
      <c r="M52" s="982"/>
      <c r="N52" s="982"/>
      <c r="O52" s="982"/>
      <c r="P52" s="982"/>
    </row>
    <row r="53" spans="1:22" ht="29">
      <c r="A53" s="1007" t="s">
        <v>990</v>
      </c>
      <c r="B53" s="1008"/>
      <c r="C53" s="964" t="s">
        <v>965</v>
      </c>
      <c r="D53" s="974">
        <v>0.95368000000000008</v>
      </c>
      <c r="E53" s="974"/>
      <c r="F53" s="966"/>
      <c r="G53" s="967"/>
      <c r="H53" s="974"/>
      <c r="I53" s="969"/>
      <c r="J53" s="1061">
        <f>IF(E$11&lt;&gt;"",IF(OR(B$11="No Filing Date","Enter Filing Date",E$11&lt;D$11),"Error in Filing Date",IF('R8a - Tax Reconciliation'!B$11="Original Filing",D53-H53,E53-H53)),IF(OR(B$11="No Filing Date","Enter Filing Date"),"Error in Filing Date",IF('R8a - Tax Reconciliation'!B$11="Original Filing",D53-H53,E53-H53)))</f>
        <v>0.95368000000000008</v>
      </c>
      <c r="K53" s="976" t="str">
        <f>IF(OR(J53&gt;=Data!$C$10,J53&lt;=-Data!$C$10), "Material", "Immaterial")</f>
        <v>Immaterial</v>
      </c>
      <c r="L53" s="1350" t="s">
        <v>1196</v>
      </c>
      <c r="N53" s="944"/>
    </row>
    <row r="54" spans="1:22">
      <c r="A54" s="1460" t="s">
        <v>991</v>
      </c>
      <c r="B54" s="1461"/>
      <c r="C54" s="964" t="s">
        <v>965</v>
      </c>
      <c r="D54" s="974"/>
      <c r="E54" s="974"/>
      <c r="F54" s="1009"/>
      <c r="G54" s="967"/>
      <c r="H54" s="974"/>
      <c r="I54" s="1010"/>
      <c r="J54" s="1061">
        <f>IF(E$11&lt;&gt;"",IF(OR(B$11="No Filing Date","Enter Filing Date",E$11&lt;D$11),"Error in Filing Date",IF('R8a - Tax Reconciliation'!B$11="Original Filing",D54-H54,E54-H54)),IF(OR(B$11="No Filing Date","Enter Filing Date"),"Error in Filing Date",IF('R8a - Tax Reconciliation'!B$11="Original Filing",D54-H54,E54-H54)))</f>
        <v>0</v>
      </c>
      <c r="K54" s="976" t="str">
        <f>IF(OR(J54&gt;=Data!$C$10,J54&lt;=-Data!$C$10), "Material", "Immaterial")</f>
        <v>Immaterial</v>
      </c>
      <c r="L54" s="1350"/>
      <c r="N54" s="944"/>
    </row>
    <row r="55" spans="1:22" ht="116">
      <c r="A55" s="1011" t="s">
        <v>992</v>
      </c>
      <c r="B55" s="1008"/>
      <c r="C55" s="964" t="s">
        <v>965</v>
      </c>
      <c r="D55" s="974">
        <v>-22.296578</v>
      </c>
      <c r="E55" s="974"/>
      <c r="F55" s="969"/>
      <c r="G55" s="967" t="str">
        <f t="shared" ref="G55" si="2">IF($B$4="ESO2", $B$4&amp; " " &amp;"PCFM - see Tax Allowance in 'System Operator' worksheet",  $B$4&amp; " " &amp;"PCFM - see Tax Allowance in 'Finance &amp;Tax' worksheet")</f>
        <v>GD2 PCFM - see Tax Allowance in 'Finance &amp;Tax' worksheet</v>
      </c>
      <c r="H55" s="975">
        <v>-28.457462048315403</v>
      </c>
      <c r="I55" s="1010"/>
      <c r="J55" s="1061">
        <f>IF(E$11&lt;&gt;"",IF(OR(B$11="No Filing Date","Enter Filing Date",E$11&lt;D$11),"Error in Filing Date",IF('R8a - Tax Reconciliation'!B$11="Original Filing",D55-H55,E55-H55)),IF(OR(B$11="No Filing Date","Enter Filing Date"),"Error in Filing Date",IF('R8a - Tax Reconciliation'!B$11="Original Filing",D55-H55,E55-H55)))</f>
        <v>6.1608840483154026</v>
      </c>
      <c r="K55" s="976" t="str">
        <f>IF(OR(J55&gt;=Data!$C$10,J55&lt;=-Data!$C$10), "Material", "Immaterial")</f>
        <v>Immaterial</v>
      </c>
      <c r="L55" s="1350" t="s">
        <v>1197</v>
      </c>
      <c r="N55" s="944"/>
    </row>
    <row r="56" spans="1:22">
      <c r="A56" s="978" t="s">
        <v>993</v>
      </c>
      <c r="B56" s="979"/>
      <c r="C56" s="964" t="s">
        <v>965</v>
      </c>
      <c r="D56" s="974"/>
      <c r="E56" s="974"/>
      <c r="F56" s="966"/>
      <c r="G56" s="967"/>
      <c r="H56" s="974"/>
      <c r="I56" s="969"/>
      <c r="J56" s="1061">
        <f>IF(E$11&lt;&gt;"",IF(OR(B$11="No Filing Date","Enter Filing Date",E$11&lt;D$11),"Error in Filing Date",IF('R8a - Tax Reconciliation'!B$11="Original Filing",D56-H56,E56-H56)),IF(OR(B$11="No Filing Date","Enter Filing Date"),"Error in Filing Date",IF('R8a - Tax Reconciliation'!B$11="Original Filing",D56-H56,E56-H56)))</f>
        <v>0</v>
      </c>
      <c r="K56" s="976" t="str">
        <f>IF(OR(J56&gt;=Data!$C$10,J56&lt;=-Data!$C$10), "Material", "Immaterial")</f>
        <v>Immaterial</v>
      </c>
      <c r="L56" s="1350"/>
      <c r="M56" s="982"/>
      <c r="N56" s="982"/>
      <c r="O56" s="982"/>
      <c r="P56" s="982"/>
    </row>
    <row r="57" spans="1:22">
      <c r="A57" s="978" t="s">
        <v>994</v>
      </c>
      <c r="B57" s="979"/>
      <c r="C57" s="964" t="s">
        <v>965</v>
      </c>
      <c r="D57" s="974"/>
      <c r="E57" s="974"/>
      <c r="F57" s="966"/>
      <c r="G57" s="967"/>
      <c r="H57" s="974"/>
      <c r="I57" s="969"/>
      <c r="J57" s="1061">
        <f>IF(E$11&lt;&gt;"",IF(OR(B$11="No Filing Date","Enter Filing Date",E$11&lt;D$11),"Error in Filing Date",IF('R8a - Tax Reconciliation'!B$11="Original Filing",D57-H57,E57-H57)),IF(OR(B$11="No Filing Date","Enter Filing Date"),"Error in Filing Date",IF('R8a - Tax Reconciliation'!B$11="Original Filing",D57-H57,E57-H57)))</f>
        <v>0</v>
      </c>
      <c r="K57" s="976" t="str">
        <f>IF(OR(J57&gt;=Data!$C$10,J57&lt;=-Data!$C$10), "Material", "Immaterial")</f>
        <v>Immaterial</v>
      </c>
      <c r="L57" s="1350"/>
      <c r="M57" s="944"/>
      <c r="N57" s="944"/>
      <c r="O57" s="944"/>
      <c r="P57" s="944"/>
      <c r="Q57" s="964"/>
      <c r="R57" s="964"/>
      <c r="S57" s="964"/>
      <c r="T57" s="964"/>
      <c r="U57" s="964"/>
      <c r="V57" s="964"/>
    </row>
    <row r="58" spans="1:22">
      <c r="A58" s="978" t="s">
        <v>995</v>
      </c>
      <c r="B58" s="979"/>
      <c r="C58" s="964" t="s">
        <v>965</v>
      </c>
      <c r="D58" s="974"/>
      <c r="E58" s="974"/>
      <c r="F58" s="966"/>
      <c r="G58" s="967"/>
      <c r="H58" s="974"/>
      <c r="I58" s="969"/>
      <c r="J58" s="1061">
        <f>IF(E$11&lt;&gt;"",IF(OR(B$11="No Filing Date","Enter Filing Date",E$11&lt;D$11),"Error in Filing Date",IF('R8a - Tax Reconciliation'!B$11="Original Filing",D58-H58,E58-H58)),IF(OR(B$11="No Filing Date","Enter Filing Date"),"Error in Filing Date",IF('R8a - Tax Reconciliation'!B$11="Original Filing",D58-H58,E58-H58)))</f>
        <v>0</v>
      </c>
      <c r="K58" s="976" t="str">
        <f>IF(OR(J58&gt;=Data!$C$10,J58&lt;=-Data!$C$10), "Material", "Immaterial")</f>
        <v>Immaterial</v>
      </c>
      <c r="L58" s="1350"/>
      <c r="M58" s="944"/>
      <c r="N58" s="944"/>
      <c r="O58" s="944"/>
      <c r="P58" s="944"/>
      <c r="Q58" s="964"/>
      <c r="R58" s="964"/>
      <c r="S58" s="964"/>
      <c r="T58" s="964"/>
      <c r="U58" s="964"/>
      <c r="V58" s="964"/>
    </row>
    <row r="59" spans="1:22">
      <c r="A59" s="978" t="s">
        <v>996</v>
      </c>
      <c r="B59" s="979"/>
      <c r="C59" s="964" t="s">
        <v>965</v>
      </c>
      <c r="D59" s="974"/>
      <c r="E59" s="974"/>
      <c r="F59" s="966"/>
      <c r="G59" s="967"/>
      <c r="H59" s="974"/>
      <c r="I59" s="969"/>
      <c r="J59" s="1061">
        <f>IF(E$11&lt;&gt;"",IF(OR(B$11="No Filing Date","Enter Filing Date",E$11&lt;D$11),"Error in Filing Date",IF('R8a - Tax Reconciliation'!B$11="Original Filing",D59-H59,E59-H59)),IF(OR(B$11="No Filing Date","Enter Filing Date"),"Error in Filing Date",IF('R8a - Tax Reconciliation'!B$11="Original Filing",D59-H59,E59-H59)))</f>
        <v>0</v>
      </c>
      <c r="K59" s="976" t="str">
        <f>IF(OR(J59&gt;=Data!$C$10,J59&lt;=-Data!$C$10), "Material", "Immaterial")</f>
        <v>Immaterial</v>
      </c>
      <c r="L59" s="1350"/>
      <c r="N59" s="944"/>
    </row>
    <row r="60" spans="1:22" ht="43.5">
      <c r="A60" s="978" t="s">
        <v>997</v>
      </c>
      <c r="B60" s="979"/>
      <c r="C60" s="964" t="s">
        <v>965</v>
      </c>
      <c r="D60" s="974">
        <v>3.8446170000000004</v>
      </c>
      <c r="E60" s="974"/>
      <c r="F60" s="966"/>
      <c r="G60" s="967"/>
      <c r="H60" s="974"/>
      <c r="I60" s="969"/>
      <c r="J60" s="1061">
        <f>IF(E$11&lt;&gt;"",IF(OR(B$11="No Filing Date","Enter Filing Date",E$11&lt;D$11),"Error in Filing Date",IF('R8a - Tax Reconciliation'!B$11="Original Filing",D60-H60,E60-H60)),IF(OR(B$11="No Filing Date","Enter Filing Date"),"Error in Filing Date",IF('R8a - Tax Reconciliation'!B$11="Original Filing",D60-H60,E60-H60)))</f>
        <v>3.8446170000000004</v>
      </c>
      <c r="K60" s="976" t="str">
        <f>IF(OR(J60&gt;=Data!$C$10,J60&lt;=-Data!$C$10), "Material", "Immaterial")</f>
        <v>Immaterial</v>
      </c>
      <c r="L60" s="1350" t="s">
        <v>1198</v>
      </c>
      <c r="N60" s="944"/>
    </row>
    <row r="61" spans="1:22">
      <c r="A61" s="1011" t="s">
        <v>977</v>
      </c>
      <c r="B61" s="1008"/>
      <c r="C61" s="964" t="s">
        <v>965</v>
      </c>
      <c r="D61" s="974"/>
      <c r="E61" s="974"/>
      <c r="F61" s="969"/>
      <c r="G61" s="967"/>
      <c r="H61" s="974"/>
      <c r="I61" s="969"/>
      <c r="J61" s="1061">
        <f>IF(E$11&lt;&gt;"",IF(OR(B$11="No Filing Date","Enter Filing Date",E$11&lt;D$11),"Error in Filing Date",IF('R8a - Tax Reconciliation'!B$11="Original Filing",D61-H61,E61-H61)),IF(OR(B$11="No Filing Date","Enter Filing Date"),"Error in Filing Date",IF('R8a - Tax Reconciliation'!B$11="Original Filing",D61-H61,E61-H61)))</f>
        <v>0</v>
      </c>
      <c r="K61" s="976" t="str">
        <f>IF(OR(J61&gt;=Data!$C$10,J61&lt;=-Data!$C$10), "Material", "Immaterial")</f>
        <v>Immaterial</v>
      </c>
      <c r="L61" s="977"/>
      <c r="N61" s="944"/>
    </row>
    <row r="62" spans="1:22">
      <c r="A62" s="996"/>
      <c r="B62" s="998"/>
      <c r="D62" s="993"/>
      <c r="E62" s="993"/>
      <c r="F62" s="993"/>
      <c r="G62" s="994"/>
      <c r="H62" s="993"/>
      <c r="I62" s="993"/>
      <c r="J62" s="993"/>
      <c r="K62" s="994"/>
      <c r="L62" s="995"/>
      <c r="M62" s="982"/>
      <c r="N62" s="982"/>
      <c r="O62" s="982"/>
      <c r="P62" s="982"/>
    </row>
    <row r="63" spans="1:22">
      <c r="A63" s="1012" t="s">
        <v>998</v>
      </c>
      <c r="B63" s="998"/>
      <c r="D63" s="993"/>
      <c r="E63" s="993"/>
      <c r="F63" s="993"/>
      <c r="G63" s="994"/>
      <c r="H63" s="993"/>
      <c r="I63" s="993"/>
      <c r="J63" s="993"/>
      <c r="K63" s="994"/>
      <c r="L63" s="995"/>
      <c r="N63" s="944"/>
    </row>
    <row r="64" spans="1:22" ht="174">
      <c r="A64" s="1011" t="s">
        <v>999</v>
      </c>
      <c r="B64" s="1008"/>
      <c r="C64" s="964" t="s">
        <v>965</v>
      </c>
      <c r="D64" s="974">
        <v>-34.930587000000003</v>
      </c>
      <c r="E64" s="974"/>
      <c r="F64" s="969"/>
      <c r="G64" s="967" t="str">
        <f t="shared" ref="G64:G66" si="3">IF($B$4="ESO2", $B$4&amp; " " &amp;"PCFM - see Tax Allowance in 'System Operator' worksheet",  $B$4&amp; " " &amp;"PCFM - see Tax Allowance in 'Finance &amp;Tax' worksheet")</f>
        <v>GD2 PCFM - see Tax Allowance in 'Finance &amp;Tax' worksheet</v>
      </c>
      <c r="H64" s="975">
        <v>-20.559475318774002</v>
      </c>
      <c r="I64" s="1010"/>
      <c r="J64" s="1061">
        <f>IF(E$11&lt;&gt;"",IF(OR(B$11="No Filing Date","Enter Filing Date",E$11&lt;D$11),"Error in Filing Date",IF('R8a - Tax Reconciliation'!B$11="Original Filing",D64-H64,E64-H64)),IF(OR(B$11="No Filing Date","Enter Filing Date"),"Error in Filing Date",IF('R8a - Tax Reconciliation'!B$11="Original Filing",D64-H64,E64-H64)))</f>
        <v>-14.371111681226001</v>
      </c>
      <c r="K64" s="976" t="str">
        <f>IF(OR(J64&gt;=Data!$C$10,J64&lt;=-Data!$C$10), "Material", "Immaterial")</f>
        <v>Material</v>
      </c>
      <c r="L64" s="1350" t="s">
        <v>1199</v>
      </c>
      <c r="M64" s="982"/>
      <c r="N64" s="982"/>
      <c r="O64" s="982"/>
      <c r="P64" s="982"/>
    </row>
    <row r="65" spans="1:17" ht="116">
      <c r="A65" s="1011" t="s">
        <v>1000</v>
      </c>
      <c r="B65" s="1008"/>
      <c r="C65" s="964" t="s">
        <v>965</v>
      </c>
      <c r="D65" s="974">
        <v>-54.129565999999997</v>
      </c>
      <c r="E65" s="974"/>
      <c r="F65" s="969"/>
      <c r="G65" s="967" t="str">
        <f t="shared" si="3"/>
        <v>GD2 PCFM - see Tax Allowance in 'Finance &amp;Tax' worksheet</v>
      </c>
      <c r="H65" s="975">
        <v>-32.938641952074057</v>
      </c>
      <c r="I65" s="1010"/>
      <c r="J65" s="1061">
        <f>IF(E$11&lt;&gt;"",IF(OR(B$11="No Filing Date","Enter Filing Date",E$11&lt;D$11),"Error in Filing Date",IF('R8a - Tax Reconciliation'!B$11="Original Filing",D65-H65,E65-H65)),IF(OR(B$11="No Filing Date","Enter Filing Date"),"Error in Filing Date",IF('R8a - Tax Reconciliation'!B$11="Original Filing",D65-H65,E65-H65)))</f>
        <v>-21.19092404792594</v>
      </c>
      <c r="K65" s="976" t="str">
        <f>IF(OR(J65&gt;=Data!$C$10,J65&lt;=-Data!$C$10), "Material", "Immaterial")</f>
        <v>Material</v>
      </c>
      <c r="L65" s="1350" t="s">
        <v>1200</v>
      </c>
      <c r="M65" s="982"/>
      <c r="N65" s="982"/>
      <c r="O65" s="982"/>
      <c r="P65" s="982"/>
    </row>
    <row r="66" spans="1:17" ht="43.5">
      <c r="A66" s="1011" t="s">
        <v>1001</v>
      </c>
      <c r="B66" s="1008"/>
      <c r="C66" s="964" t="s">
        <v>965</v>
      </c>
      <c r="D66" s="974"/>
      <c r="E66" s="974"/>
      <c r="F66" s="969"/>
      <c r="G66" s="967" t="str">
        <f t="shared" si="3"/>
        <v>GD2 PCFM - see Tax Allowance in 'Finance &amp;Tax' worksheet</v>
      </c>
      <c r="H66" s="975">
        <v>-3.3071218723374485E-2</v>
      </c>
      <c r="I66" s="1010"/>
      <c r="J66" s="1061">
        <f>IF(E$11&lt;&gt;"",IF(OR(B$11="No Filing Date","Enter Filing Date",E$11&lt;D$11),"Error in Filing Date",IF('R8a - Tax Reconciliation'!B$11="Original Filing",D66-H66,E66-H66)),IF(OR(B$11="No Filing Date","Enter Filing Date"),"Error in Filing Date",IF('R8a - Tax Reconciliation'!B$11="Original Filing",D66-H66,E66-H66)))</f>
        <v>3.3071218723374485E-2</v>
      </c>
      <c r="K66" s="976" t="str">
        <f>IF(OR(J66&gt;=Data!$C$10,J66&lt;=-Data!$C$10), "Material", "Immaterial")</f>
        <v>Immaterial</v>
      </c>
      <c r="L66" s="1350" t="s">
        <v>1201</v>
      </c>
      <c r="M66" s="982"/>
      <c r="N66" s="982"/>
      <c r="O66" s="982"/>
      <c r="P66" s="982"/>
    </row>
    <row r="67" spans="1:17">
      <c r="A67" s="1011" t="s">
        <v>1002</v>
      </c>
      <c r="B67" s="1008"/>
      <c r="C67" s="964" t="s">
        <v>965</v>
      </c>
      <c r="D67" s="974"/>
      <c r="E67" s="974"/>
      <c r="F67" s="969"/>
      <c r="G67" s="967"/>
      <c r="H67" s="974"/>
      <c r="I67" s="969"/>
      <c r="J67" s="1061">
        <f>IF(E$11&lt;&gt;"",IF(OR(B$11="No Filing Date","Enter Filing Date",E$11&lt;D$11),"Error in Filing Date",IF('R8a - Tax Reconciliation'!B$11="Original Filing",D67-H67,E67-H67)),IF(OR(B$11="No Filing Date","Enter Filing Date"),"Error in Filing Date",IF('R8a - Tax Reconciliation'!B$11="Original Filing",D67-H67,E67-H67)))</f>
        <v>0</v>
      </c>
      <c r="K67" s="976" t="str">
        <f>IF(OR(J67&gt;=Data!$C$10,J67&lt;=-Data!$C$10), "Material", "Immaterial")</f>
        <v>Immaterial</v>
      </c>
      <c r="L67" s="1350"/>
      <c r="M67" s="982"/>
      <c r="N67" s="982"/>
      <c r="O67" s="982"/>
      <c r="P67" s="982"/>
    </row>
    <row r="68" spans="1:17" s="964" customFormat="1">
      <c r="A68" s="1011" t="s">
        <v>1003</v>
      </c>
      <c r="B68" s="1008"/>
      <c r="C68" s="964" t="s">
        <v>965</v>
      </c>
      <c r="D68" s="974"/>
      <c r="E68" s="974"/>
      <c r="F68" s="969"/>
      <c r="G68" s="967"/>
      <c r="H68" s="974"/>
      <c r="I68" s="969"/>
      <c r="J68" s="1061">
        <f>IF(E$11&lt;&gt;"",IF(OR(B$11="No Filing Date","Enter Filing Date",E$11&lt;D$11),"Error in Filing Date",IF('R8a - Tax Reconciliation'!B$11="Original Filing",D68-H68,E68-H68)),IF(OR(B$11="No Filing Date","Enter Filing Date"),"Error in Filing Date",IF('R8a - Tax Reconciliation'!B$11="Original Filing",D68-H68,E68-H68)))</f>
        <v>0</v>
      </c>
      <c r="K68" s="976" t="str">
        <f>IF(OR(J68&gt;=Data!$C$10,J68&lt;=-Data!$C$10), "Material", "Immaterial")</f>
        <v>Immaterial</v>
      </c>
      <c r="L68" s="1350"/>
      <c r="N68" s="982"/>
    </row>
    <row r="69" spans="1:17">
      <c r="A69" s="1011" t="s">
        <v>1004</v>
      </c>
      <c r="B69" s="1008"/>
      <c r="C69" s="964" t="s">
        <v>965</v>
      </c>
      <c r="D69" s="974"/>
      <c r="E69" s="974"/>
      <c r="F69" s="969"/>
      <c r="G69" s="967"/>
      <c r="H69" s="974"/>
      <c r="I69" s="969"/>
      <c r="J69" s="1061">
        <f>IF(E$11&lt;&gt;"",IF(OR(B$11="No Filing Date","Enter Filing Date",E$11&lt;D$11),"Error in Filing Date",IF('R8a - Tax Reconciliation'!B$11="Original Filing",D69-H69,E69-H69)),IF(OR(B$11="No Filing Date","Enter Filing Date"),"Error in Filing Date",IF('R8a - Tax Reconciliation'!B$11="Original Filing",D69-H69,E69-H69)))</f>
        <v>0</v>
      </c>
      <c r="K69" s="976" t="str">
        <f>IF(OR(J69&gt;=Data!$C$10,J69&lt;=-Data!$C$10), "Material", "Immaterial")</f>
        <v>Immaterial</v>
      </c>
      <c r="L69" s="1350"/>
      <c r="M69" s="982"/>
      <c r="N69" s="982"/>
      <c r="O69" s="982"/>
      <c r="P69" s="982"/>
    </row>
    <row r="70" spans="1:17">
      <c r="A70" s="1011" t="s">
        <v>977</v>
      </c>
      <c r="B70" s="1008"/>
      <c r="C70" s="982" t="s">
        <v>965</v>
      </c>
      <c r="D70" s="974"/>
      <c r="E70" s="974"/>
      <c r="F70" s="969"/>
      <c r="G70" s="967"/>
      <c r="H70" s="974"/>
      <c r="I70" s="969"/>
      <c r="J70" s="1061">
        <f>IF(E$11&lt;&gt;"",IF(OR(B$11="No Filing Date","Enter Filing Date",E$11&lt;D$11),"Error in Filing Date",IF('R8a - Tax Reconciliation'!B$11="Original Filing",D70-H70,E70-H70)),IF(OR(B$11="No Filing Date","Enter Filing Date"),"Error in Filing Date",IF('R8a - Tax Reconciliation'!B$11="Original Filing",D70-H70,E70-H70)))</f>
        <v>0</v>
      </c>
      <c r="K70" s="976" t="str">
        <f>IF(OR(J70&gt;=Data!$C$10,J70&lt;=-Data!$C$10), "Material", "Immaterial")</f>
        <v>Immaterial</v>
      </c>
      <c r="L70" s="977"/>
      <c r="M70" s="982"/>
      <c r="N70" s="982"/>
      <c r="O70" s="982"/>
      <c r="P70" s="982"/>
    </row>
    <row r="71" spans="1:17" s="964" customFormat="1">
      <c r="A71" s="1474"/>
      <c r="B71" s="1475"/>
      <c r="C71" s="942"/>
      <c r="D71" s="993"/>
      <c r="E71" s="993"/>
      <c r="F71" s="993"/>
      <c r="G71" s="994"/>
      <c r="H71" s="993"/>
      <c r="I71" s="993"/>
      <c r="J71" s="993"/>
      <c r="K71" s="994"/>
      <c r="L71" s="995"/>
      <c r="N71" s="982"/>
    </row>
    <row r="72" spans="1:17" s="964" customFormat="1">
      <c r="A72" s="1470" t="s">
        <v>1005</v>
      </c>
      <c r="B72" s="1471"/>
      <c r="C72" s="942"/>
      <c r="D72" s="993"/>
      <c r="E72" s="993"/>
      <c r="F72" s="993"/>
      <c r="G72" s="994"/>
      <c r="H72" s="993"/>
      <c r="I72" s="993"/>
      <c r="J72" s="994"/>
      <c r="K72" s="994"/>
      <c r="L72" s="995"/>
      <c r="N72" s="982"/>
    </row>
    <row r="73" spans="1:17">
      <c r="A73" s="1013" t="s">
        <v>1006</v>
      </c>
      <c r="B73" s="1014"/>
      <c r="C73" s="964" t="s">
        <v>965</v>
      </c>
      <c r="D73" s="974"/>
      <c r="E73" s="974"/>
      <c r="F73" s="966"/>
      <c r="G73" s="967"/>
      <c r="H73" s="974"/>
      <c r="I73" s="969"/>
      <c r="J73" s="1061">
        <f>IF(E$11&lt;&gt;"",IF(OR(B$11="No Filing Date","Enter Filing Date",E$11&lt;D$11),"Error in Filing Date",IF('R8a - Tax Reconciliation'!B$11="Original Filing",D73-H73,E73-H73)),IF(OR(B$11="No Filing Date","Enter Filing Date"),"Error in Filing Date",IF('R8a - Tax Reconciliation'!B$11="Original Filing",D73-H73,E73-H73)))</f>
        <v>0</v>
      </c>
      <c r="K73" s="976" t="str">
        <f>IF(OR(J73&gt;=Data!$C$10,J73&lt;=-Data!$C$10), "Material", "Immaterial")</f>
        <v>Immaterial</v>
      </c>
      <c r="L73" s="1350"/>
      <c r="M73" s="982"/>
      <c r="N73" s="982"/>
      <c r="O73" s="982"/>
      <c r="P73" s="982"/>
    </row>
    <row r="74" spans="1:17" ht="87">
      <c r="A74" s="1013" t="s">
        <v>1007</v>
      </c>
      <c r="B74" s="1014"/>
      <c r="C74" s="964" t="s">
        <v>965</v>
      </c>
      <c r="D74" s="974">
        <v>-49.616292000000001</v>
      </c>
      <c r="E74" s="974"/>
      <c r="F74" s="966"/>
      <c r="G74" s="967"/>
      <c r="H74" s="974"/>
      <c r="I74" s="969"/>
      <c r="J74" s="1061">
        <f>IF(E$11&lt;&gt;"",IF(OR(B$11="No Filing Date","Enter Filing Date",E$11&lt;D$11),"Error in Filing Date",IF('R8a - Tax Reconciliation'!B$11="Original Filing",D74-H74,E74-H74)),IF(OR(B$11="No Filing Date","Enter Filing Date"),"Error in Filing Date",IF('R8a - Tax Reconciliation'!B$11="Original Filing",D74-H74,E74-H74)))</f>
        <v>-49.616292000000001</v>
      </c>
      <c r="K74" s="976" t="str">
        <f>IF(OR(J74&gt;=Data!$C$10,J74&lt;=-Data!$C$10), "Material", "Immaterial")</f>
        <v>Material</v>
      </c>
      <c r="L74" s="1350" t="s">
        <v>1202</v>
      </c>
      <c r="M74" s="982"/>
      <c r="N74" s="982"/>
      <c r="O74" s="982"/>
      <c r="P74" s="982"/>
    </row>
    <row r="75" spans="1:17">
      <c r="A75" s="978" t="s">
        <v>1008</v>
      </c>
      <c r="B75" s="979"/>
      <c r="C75" s="964" t="s">
        <v>965</v>
      </c>
      <c r="D75" s="974"/>
      <c r="E75" s="974"/>
      <c r="F75" s="966"/>
      <c r="G75" s="967"/>
      <c r="H75" s="974"/>
      <c r="I75" s="969"/>
      <c r="J75" s="1061">
        <f>IF(E$11&lt;&gt;"",IF(OR(B$11="No Filing Date","Enter Filing Date",E$11&lt;D$11),"Error in Filing Date",IF('R8a - Tax Reconciliation'!B$11="Original Filing",D75-H75,E75-H75)),IF(OR(B$11="No Filing Date","Enter Filing Date"),"Error in Filing Date",IF('R8a - Tax Reconciliation'!B$11="Original Filing",D75-H75,E75-H75)))</f>
        <v>0</v>
      </c>
      <c r="K75" s="976" t="str">
        <f>IF(OR(J75&gt;=Data!$C$10,J75&lt;=-Data!$C$10), "Material", "Immaterial")</f>
        <v>Immaterial</v>
      </c>
      <c r="L75" s="1350"/>
      <c r="M75" s="982"/>
      <c r="N75" s="982"/>
      <c r="O75" s="982"/>
      <c r="P75" s="982"/>
    </row>
    <row r="76" spans="1:17">
      <c r="A76" s="978" t="s">
        <v>1009</v>
      </c>
      <c r="B76" s="979"/>
      <c r="C76" s="964" t="s">
        <v>965</v>
      </c>
      <c r="D76" s="974"/>
      <c r="E76" s="974"/>
      <c r="F76" s="966"/>
      <c r="G76" s="967"/>
      <c r="H76" s="974"/>
      <c r="I76" s="969"/>
      <c r="J76" s="1061">
        <f>IF(E$11&lt;&gt;"",IF(OR(B$11="No Filing Date","Enter Filing Date",E$11&lt;D$11),"Error in Filing Date",IF('R8a - Tax Reconciliation'!B$11="Original Filing",D76-H76,E76-H76)),IF(OR(B$11="No Filing Date","Enter Filing Date"),"Error in Filing Date",IF('R8a - Tax Reconciliation'!B$11="Original Filing",D76-H76,E76-H76)))</f>
        <v>0</v>
      </c>
      <c r="K76" s="976" t="str">
        <f>IF(OR(J76&gt;=Data!$C$10,J76&lt;=-Data!$C$10), "Material", "Immaterial")</f>
        <v>Immaterial</v>
      </c>
      <c r="L76" s="1350"/>
      <c r="M76" s="982"/>
      <c r="N76" s="982"/>
      <c r="O76" s="982"/>
      <c r="P76" s="982"/>
    </row>
    <row r="77" spans="1:17">
      <c r="A77" s="978" t="s">
        <v>1010</v>
      </c>
      <c r="B77" s="979"/>
      <c r="C77" s="964" t="s">
        <v>965</v>
      </c>
      <c r="D77" s="974"/>
      <c r="E77" s="974"/>
      <c r="F77" s="966"/>
      <c r="G77" s="967"/>
      <c r="H77" s="974"/>
      <c r="I77" s="969"/>
      <c r="J77" s="1061">
        <f>IF(E$11&lt;&gt;"",IF(OR(B$11="No Filing Date","Enter Filing Date",E$11&lt;D$11),"Error in Filing Date",IF('R8a - Tax Reconciliation'!B$11="Original Filing",D77-H77,E77-H77)),IF(OR(B$11="No Filing Date","Enter Filing Date"),"Error in Filing Date",IF('R8a - Tax Reconciliation'!B$11="Original Filing",D77-H77,E77-H77)))</f>
        <v>0</v>
      </c>
      <c r="K77" s="976" t="str">
        <f>IF(OR(J77&gt;=Data!$C$10,J77&lt;=-Data!$C$10), "Material", "Immaterial")</f>
        <v>Immaterial</v>
      </c>
      <c r="L77" s="1350"/>
      <c r="M77" s="964"/>
      <c r="N77" s="982"/>
      <c r="O77" s="964"/>
      <c r="P77" s="964"/>
      <c r="Q77" s="964"/>
    </row>
    <row r="78" spans="1:17">
      <c r="A78" s="978" t="s">
        <v>1011</v>
      </c>
      <c r="B78" s="979"/>
      <c r="C78" s="964" t="s">
        <v>965</v>
      </c>
      <c r="D78" s="974"/>
      <c r="E78" s="974"/>
      <c r="F78" s="966"/>
      <c r="G78" s="967"/>
      <c r="H78" s="974"/>
      <c r="I78" s="969"/>
      <c r="J78" s="1061">
        <f>IF(E$11&lt;&gt;"",IF(OR(B$11="No Filing Date","Enter Filing Date",E$11&lt;D$11),"Error in Filing Date",IF('R8a - Tax Reconciliation'!B$11="Original Filing",D78-H78,E78-H78)),IF(OR(B$11="No Filing Date","Enter Filing Date"),"Error in Filing Date",IF('R8a - Tax Reconciliation'!B$11="Original Filing",D78-H78,E78-H78)))</f>
        <v>0</v>
      </c>
      <c r="K78" s="976" t="str">
        <f>IF(OR(J78&gt;=Data!$C$10,J78&lt;=-Data!$C$10), "Material", "Immaterial")</f>
        <v>Immaterial</v>
      </c>
      <c r="L78" s="1350"/>
      <c r="M78" s="982"/>
      <c r="N78" s="982"/>
      <c r="O78" s="982"/>
      <c r="P78" s="982"/>
    </row>
    <row r="79" spans="1:17">
      <c r="A79" s="1015" t="s">
        <v>977</v>
      </c>
      <c r="B79" s="1016"/>
      <c r="C79" s="964" t="s">
        <v>965</v>
      </c>
      <c r="D79" s="974"/>
      <c r="E79" s="974"/>
      <c r="F79" s="966"/>
      <c r="G79" s="967"/>
      <c r="H79" s="974"/>
      <c r="I79" s="969"/>
      <c r="J79" s="1061">
        <f>IF(E$11&lt;&gt;"",IF(OR(B$11="No Filing Date","Enter Filing Date",E$11&lt;D$11),"Error in Filing Date",IF('R8a - Tax Reconciliation'!B$11="Original Filing",D79-H79,E79-H79)),IF(OR(B$11="No Filing Date","Enter Filing Date"),"Error in Filing Date",IF('R8a - Tax Reconciliation'!B$11="Original Filing",D79-H79,E79-H79)))</f>
        <v>0</v>
      </c>
      <c r="K79" s="976" t="str">
        <f>IF(OR(J79&gt;=Data!$C$10,J79&lt;=-Data!$C$10), "Material", "Immaterial")</f>
        <v>Immaterial</v>
      </c>
      <c r="L79" s="977"/>
      <c r="M79" s="982"/>
      <c r="N79" s="982"/>
      <c r="O79" s="982"/>
      <c r="P79" s="982"/>
    </row>
    <row r="80" spans="1:17">
      <c r="D80" s="1017"/>
      <c r="E80" s="1017"/>
      <c r="F80" s="993"/>
      <c r="G80" s="994"/>
      <c r="H80" s="1017"/>
      <c r="I80" s="993"/>
      <c r="J80" s="993"/>
      <c r="K80" s="994"/>
      <c r="L80" s="1018"/>
      <c r="M80" s="982"/>
      <c r="N80" s="982"/>
      <c r="O80" s="982"/>
      <c r="P80" s="982"/>
    </row>
    <row r="81" spans="1:17">
      <c r="A81" s="1476" t="s">
        <v>1012</v>
      </c>
      <c r="B81" s="1477"/>
      <c r="C81" s="1008" t="s">
        <v>965</v>
      </c>
      <c r="D81" s="1055">
        <f>SUM(D44:D80)</f>
        <v>515.16852197000003</v>
      </c>
      <c r="E81" s="1055">
        <f>SUM(E44:E80)</f>
        <v>0</v>
      </c>
      <c r="F81" s="1009"/>
      <c r="G81" s="989" t="s">
        <v>1013</v>
      </c>
      <c r="H81" s="1055">
        <f>SUM(H44:H80)</f>
        <v>168.58603890387784</v>
      </c>
      <c r="I81" s="1010"/>
      <c r="J81" s="1055">
        <f>SUM(J44:J80)</f>
        <v>346.58248306612222</v>
      </c>
      <c r="K81" s="976" t="str">
        <f>IF(OR(J81&gt;=Data!$C$10,J81&lt;=-Data!$C$10), "Material", "Immaterial")</f>
        <v>Material</v>
      </c>
      <c r="L81" s="977" t="s">
        <v>1203</v>
      </c>
      <c r="M81" s="991"/>
      <c r="N81" s="991"/>
      <c r="O81" s="991"/>
      <c r="P81" s="991"/>
    </row>
    <row r="82" spans="1:17">
      <c r="A82" s="1019"/>
      <c r="B82" s="1019"/>
      <c r="C82" s="964"/>
      <c r="D82" s="1020"/>
      <c r="E82" s="1020"/>
      <c r="F82" s="966"/>
      <c r="G82" s="966"/>
      <c r="H82" s="1020"/>
      <c r="I82" s="969"/>
      <c r="J82" s="1021"/>
      <c r="K82" s="976"/>
      <c r="L82" s="971"/>
      <c r="M82" s="991"/>
      <c r="N82" s="991"/>
      <c r="O82" s="991"/>
      <c r="P82" s="991"/>
    </row>
    <row r="83" spans="1:17">
      <c r="A83" s="992" t="s">
        <v>1014</v>
      </c>
      <c r="B83" s="1022"/>
      <c r="C83" s="964"/>
      <c r="D83" s="966"/>
      <c r="E83" s="966"/>
      <c r="F83" s="966"/>
      <c r="G83" s="966"/>
      <c r="H83" s="966"/>
      <c r="I83" s="969"/>
      <c r="J83" s="969"/>
      <c r="K83" s="976"/>
      <c r="L83" s="971"/>
      <c r="M83" s="991"/>
      <c r="N83" s="991"/>
      <c r="O83" s="991"/>
      <c r="P83" s="991"/>
    </row>
    <row r="84" spans="1:17">
      <c r="A84" s="1023"/>
      <c r="B84" s="1024"/>
      <c r="C84" s="964"/>
      <c r="D84" s="966"/>
      <c r="E84" s="966"/>
      <c r="F84" s="966"/>
      <c r="G84" s="966"/>
      <c r="H84" s="966"/>
      <c r="I84" s="969"/>
      <c r="J84" s="969"/>
      <c r="K84" s="976"/>
      <c r="L84" s="971"/>
      <c r="M84" s="991"/>
      <c r="N84" s="991"/>
      <c r="O84" s="991"/>
      <c r="P84" s="991"/>
      <c r="Q84" s="964"/>
    </row>
    <row r="85" spans="1:17">
      <c r="A85" s="1006" t="s">
        <v>1015</v>
      </c>
      <c r="B85" s="1025"/>
      <c r="D85" s="1000"/>
      <c r="E85" s="1026"/>
      <c r="F85" s="1000"/>
      <c r="G85" s="1001"/>
      <c r="H85" s="1026"/>
      <c r="I85" s="993"/>
      <c r="J85" s="993"/>
      <c r="K85" s="994"/>
      <c r="L85" s="995"/>
      <c r="M85" s="991"/>
      <c r="N85" s="991"/>
      <c r="O85" s="991"/>
      <c r="P85" s="991"/>
    </row>
    <row r="86" spans="1:17" s="964" customFormat="1">
      <c r="A86" s="978" t="s">
        <v>1016</v>
      </c>
      <c r="B86" s="1024"/>
      <c r="C86" s="964" t="s">
        <v>965</v>
      </c>
      <c r="D86" s="974"/>
      <c r="E86" s="974"/>
      <c r="F86" s="966"/>
      <c r="G86" s="967" t="str">
        <f t="shared" ref="G86:G90" si="4">IF($B$4="ESO2", $B$4&amp; " " &amp;"PCFM - see Tax Allowance in 'System Operator' worksheet",  $B$4&amp; " " &amp;"PCFM - see Tax Allowance in 'Finance &amp;Tax' worksheet")</f>
        <v>GD2 PCFM - see Tax Allowance in 'Finance &amp;Tax' worksheet</v>
      </c>
      <c r="H86" s="975">
        <v>0</v>
      </c>
      <c r="I86" s="969"/>
      <c r="J86" s="1061">
        <f>IF(E$11&lt;&gt;"",IF(OR(B$11="No Filing Date","Enter Filing Date",E$11&lt;D$11),"Error in Filing Date",IF('R8a - Tax Reconciliation'!B$11="Original Filing",D86-H86,E86-H86)),IF(OR(B$11="No Filing Date","Enter Filing Date"),"Error in Filing Date",IF('R8a - Tax Reconciliation'!B$11="Original Filing",D86-H86,E86-H86)))</f>
        <v>0</v>
      </c>
      <c r="K86" s="976" t="str">
        <f>IF(OR(J86&gt;=Data!$C$10,J86&lt;=-Data!$C$10), "Material", "Immaterial")</f>
        <v>Immaterial</v>
      </c>
      <c r="L86" s="1350"/>
      <c r="M86" s="991"/>
      <c r="N86" s="991"/>
      <c r="O86" s="991"/>
      <c r="P86" s="991"/>
    </row>
    <row r="87" spans="1:17" s="964" customFormat="1">
      <c r="A87" s="978" t="s">
        <v>1017</v>
      </c>
      <c r="B87" s="1024"/>
      <c r="C87" s="964" t="s">
        <v>965</v>
      </c>
      <c r="D87" s="974"/>
      <c r="E87" s="974"/>
      <c r="F87" s="966"/>
      <c r="G87" s="967" t="str">
        <f t="shared" si="4"/>
        <v>GD2 PCFM - see Tax Allowance in 'Finance &amp;Tax' worksheet</v>
      </c>
      <c r="H87" s="975">
        <v>0</v>
      </c>
      <c r="I87" s="969"/>
      <c r="J87" s="1061">
        <f>IF(E$11&lt;&gt;"",IF(OR(B$11="No Filing Date","Enter Filing Date",E$11&lt;D$11),"Error in Filing Date",IF('R8a - Tax Reconciliation'!B$11="Original Filing",D87-H87,E87-H87)),IF(OR(B$11="No Filing Date","Enter Filing Date"),"Error in Filing Date",IF('R8a - Tax Reconciliation'!B$11="Original Filing",D87-H87,E87-H87)))</f>
        <v>0</v>
      </c>
      <c r="K87" s="976" t="str">
        <f>IF(OR(J87&gt;=Data!$C$10,J87&lt;=-Data!$C$10), "Material", "Immaterial")</f>
        <v>Immaterial</v>
      </c>
      <c r="L87" s="1350"/>
      <c r="M87" s="991"/>
      <c r="N87" s="991"/>
      <c r="O87" s="991"/>
      <c r="P87" s="991"/>
    </row>
    <row r="88" spans="1:17" s="964" customFormat="1" ht="43.5">
      <c r="A88" s="978" t="s">
        <v>1018</v>
      </c>
      <c r="B88" s="1024"/>
      <c r="C88" s="964" t="s">
        <v>965</v>
      </c>
      <c r="D88" s="1027"/>
      <c r="E88" s="1027"/>
      <c r="F88" s="966"/>
      <c r="G88" s="967" t="str">
        <f t="shared" si="4"/>
        <v>GD2 PCFM - see Tax Allowance in 'Finance &amp;Tax' worksheet</v>
      </c>
      <c r="H88" s="1348">
        <v>-64.244254406085247</v>
      </c>
      <c r="I88" s="969"/>
      <c r="J88" s="1061">
        <f>IF(E$11&lt;&gt;"",IF(OR(B$11="No Filing Date","Enter Filing Date",E$11&lt;D$11),"Error in Filing Date",IF('R8a - Tax Reconciliation'!B$11="Original Filing",D88-H88,E88-H88)),IF(OR(B$11="No Filing Date","Enter Filing Date"),"Error in Filing Date",IF('R8a - Tax Reconciliation'!B$11="Original Filing",D88-H88,E88-H88)))</f>
        <v>64.244254406085247</v>
      </c>
      <c r="K88" s="976" t="str">
        <f>IF(OR(J88&gt;=Data!$C$10,J88&lt;=-Data!$C$10), "Material", "Immaterial")</f>
        <v>Material</v>
      </c>
      <c r="L88" s="1350" t="s">
        <v>1204</v>
      </c>
      <c r="M88" s="991"/>
      <c r="N88" s="991"/>
      <c r="O88" s="991"/>
      <c r="P88" s="991"/>
    </row>
    <row r="89" spans="1:17" s="964" customFormat="1" ht="130.5">
      <c r="A89" s="978" t="s">
        <v>1019</v>
      </c>
      <c r="B89" s="1024"/>
      <c r="C89" s="964" t="s">
        <v>965</v>
      </c>
      <c r="D89" s="1027"/>
      <c r="E89" s="1027"/>
      <c r="F89" s="966"/>
      <c r="G89" s="967" t="str">
        <f t="shared" si="4"/>
        <v>GD2 PCFM - see Tax Allowance in 'Finance &amp;Tax' worksheet</v>
      </c>
      <c r="H89" s="975">
        <v>-30.670860157360394</v>
      </c>
      <c r="I89" s="969"/>
      <c r="J89" s="1061">
        <f>IF(E$11&lt;&gt;"",IF(OR(B$11="No Filing Date","Enter Filing Date",E$11&lt;D$11),"Error in Filing Date",IF('R8a - Tax Reconciliation'!B$11="Original Filing",D89-H89,E89-H89)),IF(OR(B$11="No Filing Date","Enter Filing Date"),"Error in Filing Date",IF('R8a - Tax Reconciliation'!B$11="Original Filing",D89-H89,E89-H89)))</f>
        <v>30.670860157360394</v>
      </c>
      <c r="K89" s="976" t="str">
        <f>IF(OR(J89&gt;=Data!$C$10,J89&lt;=-Data!$C$10), "Material", "Immaterial")</f>
        <v>Material</v>
      </c>
      <c r="L89" s="1350" t="s">
        <v>1205</v>
      </c>
      <c r="M89" s="991"/>
      <c r="N89" s="991"/>
      <c r="O89" s="991"/>
      <c r="P89" s="991"/>
    </row>
    <row r="90" spans="1:17" s="964" customFormat="1" ht="29">
      <c r="A90" s="978" t="s">
        <v>1020</v>
      </c>
      <c r="B90" s="1024"/>
      <c r="C90" s="964" t="s">
        <v>965</v>
      </c>
      <c r="D90" s="974"/>
      <c r="E90" s="974"/>
      <c r="F90" s="966"/>
      <c r="G90" s="967" t="str">
        <f t="shared" si="4"/>
        <v>GD2 PCFM - see Tax Allowance in 'Finance &amp;Tax' worksheet</v>
      </c>
      <c r="H90" s="1348">
        <v>94.915114563445641</v>
      </c>
      <c r="I90" s="969"/>
      <c r="J90" s="1061">
        <f>IF(E$11&lt;&gt;"",IF(OR(B$11="No Filing Date","Enter Filing Date",E$11&lt;D$11),"Error in Filing Date",IF('R8a - Tax Reconciliation'!B$11="Original Filing",D90-H90,E90-H90)),IF(OR(B$11="No Filing Date","Enter Filing Date"),"Error in Filing Date",IF('R8a - Tax Reconciliation'!B$11="Original Filing",D90-H90,E90-H90)))</f>
        <v>-94.915114563445641</v>
      </c>
      <c r="K90" s="976" t="str">
        <f>IF(OR(J90&gt;=Data!$C$10,J90&lt;=-Data!$C$10), "Material", "Immaterial")</f>
        <v>Material</v>
      </c>
      <c r="L90" s="1350" t="s">
        <v>1206</v>
      </c>
      <c r="M90" s="991"/>
      <c r="N90" s="991"/>
      <c r="O90" s="991"/>
      <c r="P90" s="991"/>
    </row>
    <row r="91" spans="1:17" s="964" customFormat="1">
      <c r="A91" s="1015" t="s">
        <v>1021</v>
      </c>
      <c r="B91" s="1016"/>
      <c r="C91" s="964" t="s">
        <v>965</v>
      </c>
      <c r="D91" s="974"/>
      <c r="E91" s="974"/>
      <c r="F91" s="966"/>
      <c r="G91" s="967"/>
      <c r="H91" s="974"/>
      <c r="I91" s="969"/>
      <c r="J91" s="1061">
        <f>IF(E$11&lt;&gt;"",IF(OR(B$11="No Filing Date","Enter Filing Date",E$11&lt;D$11),"Error in Filing Date",IF('R8a - Tax Reconciliation'!B$11="Original Filing",D91-H91,E91-H91)),IF(OR(B$11="No Filing Date","Enter Filing Date"),"Error in Filing Date",IF('R8a - Tax Reconciliation'!B$11="Original Filing",D91-H91,E91-H91)))</f>
        <v>0</v>
      </c>
      <c r="K91" s="976" t="str">
        <f>IF(OR(J91&gt;=Data!$C$10,J91&lt;=-Data!$C$10), "Material", "Immaterial")</f>
        <v>Immaterial</v>
      </c>
      <c r="L91" s="977"/>
      <c r="M91" s="991"/>
      <c r="N91" s="991"/>
      <c r="O91" s="991"/>
      <c r="P91" s="991"/>
    </row>
    <row r="92" spans="1:17" s="964" customFormat="1">
      <c r="A92" s="942"/>
      <c r="B92" s="942"/>
      <c r="C92" s="942"/>
      <c r="D92" s="1017"/>
      <c r="E92" s="1017"/>
      <c r="F92" s="993"/>
      <c r="G92" s="994"/>
      <c r="H92" s="1017"/>
      <c r="I92" s="993"/>
      <c r="J92" s="1017"/>
      <c r="K92" s="994"/>
      <c r="L92" s="1018"/>
      <c r="M92" s="991"/>
      <c r="N92" s="991"/>
      <c r="O92" s="991"/>
      <c r="P92" s="991"/>
    </row>
    <row r="93" spans="1:17" s="964" customFormat="1">
      <c r="A93" s="1280" t="s">
        <v>1022</v>
      </c>
      <c r="B93" s="1279"/>
      <c r="C93" s="1008" t="s">
        <v>965</v>
      </c>
      <c r="D93" s="1054">
        <f>MAX(D81-D90,0)</f>
        <v>515.16852197000003</v>
      </c>
      <c r="E93" s="1054">
        <f>MAX(E81-E90,0)</f>
        <v>0</v>
      </c>
      <c r="F93" s="1311"/>
      <c r="G93" s="1277" t="s">
        <v>1023</v>
      </c>
      <c r="H93" s="1054">
        <f>MAX(H81-H90,0)</f>
        <v>73.670924340432194</v>
      </c>
      <c r="I93" s="993"/>
      <c r="J93" s="1061">
        <f>IF(E$11&lt;&gt;"",IF(OR(B$11="No Filing Date","Enter Filing Date",E$11&lt;D$11),"Error in Filing Date",IF('R8a - Tax Reconciliation'!B$11="Original Filing",D93-H93,E93-H93)),IF(OR(B$11="No Filing Date","Enter Filing Date"),"Error in Filing Date",IF('R8a - Tax Reconciliation'!B$11="Original Filing",D93-H93,E93-H93)))</f>
        <v>441.49759762956785</v>
      </c>
      <c r="K93" s="976" t="str">
        <f>IF(OR(J93&gt;=Data!$C$10,J93&lt;=-Data!$C$10), "Material", "Immaterial")</f>
        <v>Material</v>
      </c>
      <c r="L93" s="977" t="s">
        <v>1207</v>
      </c>
      <c r="M93" s="991"/>
      <c r="N93" s="991"/>
      <c r="O93" s="991"/>
      <c r="P93" s="991"/>
    </row>
    <row r="94" spans="1:17" s="964" customFormat="1">
      <c r="A94" s="1028"/>
      <c r="B94" s="1029"/>
      <c r="C94" s="942"/>
      <c r="D94" s="993"/>
      <c r="E94" s="993"/>
      <c r="F94" s="993"/>
      <c r="G94" s="993"/>
      <c r="H94" s="994"/>
      <c r="I94" s="994"/>
      <c r="J94" s="994"/>
      <c r="K94" s="994"/>
      <c r="L94" s="995"/>
      <c r="M94" s="991"/>
      <c r="N94" s="991"/>
      <c r="O94" s="991"/>
      <c r="P94" s="991"/>
    </row>
    <row r="95" spans="1:17" s="1030" customFormat="1">
      <c r="A95" s="1281" t="s">
        <v>1024</v>
      </c>
      <c r="B95" s="1282"/>
      <c r="C95" s="1030" t="s">
        <v>965</v>
      </c>
      <c r="D95" s="1054">
        <f>+D93*D13</f>
        <v>97.882019174300012</v>
      </c>
      <c r="E95" s="1054">
        <f>+E93*E13</f>
        <v>0</v>
      </c>
      <c r="F95" s="985"/>
      <c r="G95" s="1278" t="s">
        <v>1025</v>
      </c>
      <c r="H95" s="1054">
        <f>+H93*H13</f>
        <v>13.997475624682117</v>
      </c>
      <c r="I95" s="985"/>
      <c r="J95" s="1054">
        <f>IF(E$11&lt;&gt;"",IF(OR(B$11="No Filing Date","Enter Filing Date",E$11&lt;D$11),"Error in Filing Date",IF('R8a - Tax Reconciliation'!B$11="Original Filing",D95-H95,E95-H95)),IF(OR(B$11="No Filing Date","Enter Filing Date"),"Error in Filing Date",IF('R8a - Tax Reconciliation'!B$11="Original Filing",D95-H95,E95-H95)))</f>
        <v>83.884543549617888</v>
      </c>
      <c r="K95" s="986" t="str">
        <f>IF(OR(J95&gt;=Data!$C$11,J95&lt;=-Data!$C$11), "Material", "Immaterial")</f>
        <v>Material</v>
      </c>
      <c r="L95" s="1031"/>
      <c r="M95" s="1032"/>
      <c r="N95" s="1032"/>
      <c r="O95" s="1032"/>
      <c r="P95" s="1032"/>
    </row>
    <row r="96" spans="1:17" s="989" customFormat="1">
      <c r="H96" s="1033"/>
    </row>
    <row r="97" spans="1:16" s="1034" customFormat="1">
      <c r="A97" s="1469" t="s">
        <v>1026</v>
      </c>
      <c r="B97" s="1469"/>
      <c r="C97" s="1034" t="s">
        <v>904</v>
      </c>
      <c r="D97" s="1056">
        <f>INDEX(Data!$E$34:$L$34,MATCH($B$6,Data!$E$33:$L$33,0))</f>
        <v>1.1799638149272795</v>
      </c>
      <c r="E97" s="1056">
        <f>INDEX(Data!$E$34:$L$34,MATCH($B$6,Data!$E$33:$L$33,0))</f>
        <v>1.1799638149272795</v>
      </c>
      <c r="F97" s="1035"/>
      <c r="G97" s="1001" t="s">
        <v>1027</v>
      </c>
      <c r="H97" s="1058">
        <f>INDEX(Data!$E$34:$L$34,MATCH($B$6,Data!$E$33:$L$33,0))</f>
        <v>1.1799638149272795</v>
      </c>
      <c r="I97" s="1036"/>
      <c r="J97" s="1036"/>
      <c r="K97" s="1037"/>
    </row>
    <row r="98" spans="1:16" s="1045" customFormat="1" ht="15.5">
      <c r="A98" s="1038" t="s">
        <v>1024</v>
      </c>
      <c r="B98" s="1039"/>
      <c r="C98" s="1040" t="str">
        <f>IF($B$4="ED","20/21 Prices","18/19 Prices")</f>
        <v>18/19 Prices</v>
      </c>
      <c r="D98" s="1057">
        <f>D95/D97</f>
        <v>82.953407499476938</v>
      </c>
      <c r="E98" s="1057">
        <f>E95/E97</f>
        <v>0</v>
      </c>
      <c r="F98" s="1041"/>
      <c r="G98" s="1042" t="s">
        <v>1028</v>
      </c>
      <c r="H98" s="1059">
        <f>H95/H97</f>
        <v>11.862631249878433</v>
      </c>
      <c r="I98" s="1043"/>
      <c r="J98" s="1060">
        <f>IF(OR(B$11="No Filing Date","Enter Filing Date"),"Error in Filing Date",IF('R8a - Tax Reconciliation'!B$11="Original Filing",D98-H98,E98-H98))</f>
        <v>71.090776249598505</v>
      </c>
      <c r="K98" s="1044"/>
      <c r="L98" s="1044"/>
      <c r="M98" s="1044"/>
      <c r="N98" s="1044"/>
      <c r="O98" s="1044"/>
      <c r="P98" s="1044"/>
    </row>
    <row r="99" spans="1:16">
      <c r="C99" s="1046"/>
      <c r="D99" s="993"/>
      <c r="E99" s="993"/>
      <c r="F99" s="993"/>
      <c r="G99" s="994"/>
      <c r="H99" s="967"/>
      <c r="I99" s="993"/>
      <c r="J99" s="993"/>
      <c r="K99" s="994"/>
      <c r="N99" s="944"/>
    </row>
    <row r="100" spans="1:16">
      <c r="D100" s="1047"/>
      <c r="E100" s="1047"/>
      <c r="F100" s="1047"/>
      <c r="G100" s="1048"/>
      <c r="H100" s="1047"/>
      <c r="I100" s="1047"/>
      <c r="J100" s="1047"/>
      <c r="K100" s="1048"/>
      <c r="N100" s="944"/>
    </row>
    <row r="104" spans="1:16">
      <c r="B104" s="1049"/>
    </row>
    <row r="105" spans="1:16">
      <c r="B105" s="1049"/>
    </row>
    <row r="110" spans="1:16">
      <c r="F110" s="1050"/>
    </row>
    <row r="111" spans="1:16">
      <c r="F111" s="1051"/>
    </row>
  </sheetData>
  <sheetProtection formatCells="0" insertRows="0" sort="0" autoFilter="0" pivotTables="0"/>
  <mergeCells count="20">
    <mergeCell ref="A97:B97"/>
    <mergeCell ref="A72:B72"/>
    <mergeCell ref="A35:B35"/>
    <mergeCell ref="A36:B36"/>
    <mergeCell ref="A39:B39"/>
    <mergeCell ref="A41:B41"/>
    <mergeCell ref="A42:B42"/>
    <mergeCell ref="A38:B38"/>
    <mergeCell ref="A71:B71"/>
    <mergeCell ref="A81:B81"/>
    <mergeCell ref="A54:B54"/>
    <mergeCell ref="L8:L9"/>
    <mergeCell ref="A13:B13"/>
    <mergeCell ref="A26:B26"/>
    <mergeCell ref="A27:B27"/>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Normal="100" workbookViewId="0"/>
  </sheetViews>
  <sheetFormatPr defaultColWidth="9" defaultRowHeight="13.5"/>
  <cols>
    <col min="1" max="1" width="8.3828125" style="136" customWidth="1"/>
    <col min="2" max="2" width="75" style="136" customWidth="1"/>
    <col min="3" max="3" width="15.15234375" style="136" customWidth="1"/>
    <col min="4" max="4" width="14.765625" style="136" customWidth="1"/>
    <col min="5" max="5" width="14.84375" style="136" customWidth="1"/>
    <col min="6" max="6" width="14.3828125" style="136" customWidth="1"/>
    <col min="7" max="8" width="11.15234375" style="136" customWidth="1"/>
    <col min="9" max="9" width="5" style="136" customWidth="1"/>
    <col min="10" max="13" width="9" style="136"/>
    <col min="14" max="14" width="13.15234375" style="136" customWidth="1"/>
    <col min="15" max="16384" width="9" style="136"/>
  </cols>
  <sheetData>
    <row r="1" spans="1:15" ht="20">
      <c r="A1" s="362" t="s">
        <v>271</v>
      </c>
      <c r="B1" s="364"/>
      <c r="C1" s="365"/>
      <c r="D1" s="365"/>
      <c r="E1" s="365"/>
      <c r="F1" s="365"/>
      <c r="G1" s="365"/>
      <c r="H1" s="365"/>
      <c r="I1" s="494"/>
    </row>
    <row r="2" spans="1:15" ht="20">
      <c r="A2" s="367" t="str">
        <f>Licensee</f>
        <v>SGN - Southern</v>
      </c>
      <c r="B2" s="369"/>
      <c r="C2" s="370"/>
      <c r="D2" s="370"/>
      <c r="E2" s="370"/>
      <c r="F2" s="370"/>
      <c r="G2" s="370"/>
      <c r="H2" s="370"/>
      <c r="I2" s="372"/>
    </row>
    <row r="3" spans="1:15" ht="20">
      <c r="A3" s="369">
        <f>Reporting_Year</f>
        <v>2024</v>
      </c>
      <c r="B3" s="373"/>
      <c r="C3" s="373"/>
      <c r="D3" s="373"/>
      <c r="E3" s="373"/>
      <c r="F3" s="373"/>
      <c r="G3" s="373"/>
      <c r="H3" s="373"/>
      <c r="I3" s="375"/>
    </row>
    <row r="4" spans="1:15" s="377" customFormat="1" ht="12.75" customHeight="1"/>
    <row r="5" spans="1:15" s="377" customFormat="1">
      <c r="B5" s="517"/>
      <c r="C5" s="517"/>
      <c r="D5" s="376" t="str">
        <f t="shared" ref="D5:H5" si="0">IF(D6&lt;=Reporting_Year,"Actuals","Forecast")</f>
        <v>Actuals</v>
      </c>
      <c r="E5" s="376" t="str">
        <f t="shared" si="0"/>
        <v>Actuals</v>
      </c>
      <c r="F5" s="376" t="str">
        <f t="shared" si="0"/>
        <v>Actuals</v>
      </c>
      <c r="G5" s="376" t="str">
        <f t="shared" si="0"/>
        <v>Forecast</v>
      </c>
      <c r="H5" s="376" t="str">
        <f t="shared" si="0"/>
        <v>Forecast</v>
      </c>
    </row>
    <row r="6" spans="1:15" s="377" customFormat="1">
      <c r="D6" s="495">
        <f>'RFPR cover'!$C$6</f>
        <v>2022</v>
      </c>
      <c r="E6" s="496">
        <f>D6+1</f>
        <v>2023</v>
      </c>
      <c r="F6" s="496">
        <f t="shared" ref="F6:H6" si="1">E6+1</f>
        <v>2024</v>
      </c>
      <c r="G6" s="496">
        <f t="shared" si="1"/>
        <v>2025</v>
      </c>
      <c r="H6" s="496">
        <f t="shared" si="1"/>
        <v>2026</v>
      </c>
    </row>
    <row r="7" spans="1:15" s="377" customFormat="1">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597" t="str">
        <f>RIIO_2_start_date+3&amp;"/"&amp;RIGHT(RIIO_2_start_date+4,2)</f>
        <v>2025/26</v>
      </c>
    </row>
    <row r="8" spans="1:15" s="377" customFormat="1"/>
    <row r="9" spans="1:15" s="377" customFormat="1">
      <c r="A9" s="1062" t="s">
        <v>1029</v>
      </c>
      <c r="B9" s="1063"/>
      <c r="C9" s="382"/>
      <c r="D9" s="382"/>
      <c r="E9" s="382"/>
      <c r="F9" s="382"/>
      <c r="G9" s="382"/>
      <c r="H9" s="382"/>
    </row>
    <row r="10" spans="1:15" s="377" customFormat="1"/>
    <row r="11" spans="1:15">
      <c r="B11" s="467" t="s">
        <v>1030</v>
      </c>
      <c r="C11" s="29" t="s">
        <v>520</v>
      </c>
      <c r="D11" s="1351">
        <v>65</v>
      </c>
      <c r="E11" s="1351">
        <v>46.5</v>
      </c>
      <c r="F11" s="1351">
        <v>25</v>
      </c>
      <c r="G11" s="927"/>
      <c r="H11" s="927"/>
      <c r="J11" s="377"/>
    </row>
    <row r="12" spans="1:15">
      <c r="B12" s="449" t="s">
        <v>1031</v>
      </c>
      <c r="C12" s="467"/>
      <c r="D12" s="904"/>
      <c r="E12" s="904"/>
      <c r="F12" s="904"/>
      <c r="G12" s="904"/>
      <c r="H12" s="904"/>
      <c r="J12" s="377"/>
    </row>
    <row r="13" spans="1:15">
      <c r="B13" s="601" t="s">
        <v>931</v>
      </c>
      <c r="C13" s="29" t="s">
        <v>520</v>
      </c>
      <c r="D13" s="1351">
        <v>0</v>
      </c>
      <c r="E13" s="1351">
        <v>0</v>
      </c>
      <c r="F13" s="1351">
        <v>0</v>
      </c>
      <c r="G13" s="927"/>
      <c r="H13" s="927"/>
      <c r="J13" s="377"/>
    </row>
    <row r="14" spans="1:15">
      <c r="B14" s="601" t="s">
        <v>931</v>
      </c>
      <c r="C14" s="29" t="s">
        <v>520</v>
      </c>
      <c r="D14" s="1351">
        <v>0</v>
      </c>
      <c r="E14" s="1351">
        <v>0</v>
      </c>
      <c r="F14" s="1351">
        <v>0</v>
      </c>
      <c r="G14" s="927"/>
      <c r="H14" s="927"/>
      <c r="J14" s="377"/>
    </row>
    <row r="15" spans="1:15">
      <c r="B15" s="601" t="s">
        <v>932</v>
      </c>
      <c r="C15" s="29" t="s">
        <v>520</v>
      </c>
      <c r="D15" s="1351">
        <v>0</v>
      </c>
      <c r="E15" s="1351">
        <v>0</v>
      </c>
      <c r="F15" s="1351">
        <v>0</v>
      </c>
      <c r="G15" s="927"/>
      <c r="H15" s="927"/>
      <c r="J15" s="377"/>
      <c r="N15" s="1064"/>
    </row>
    <row r="16" spans="1:15">
      <c r="B16" s="467" t="s">
        <v>1032</v>
      </c>
      <c r="C16" s="29" t="s">
        <v>520</v>
      </c>
      <c r="D16" s="937">
        <f>D11-SUM(D13:D15)</f>
        <v>65</v>
      </c>
      <c r="E16" s="937">
        <f t="shared" ref="E16:H16" si="2">E11-SUM(E13:E15)</f>
        <v>46.5</v>
      </c>
      <c r="F16" s="937">
        <f t="shared" si="2"/>
        <v>25</v>
      </c>
      <c r="G16" s="937">
        <f t="shared" si="2"/>
        <v>0</v>
      </c>
      <c r="H16" s="937">
        <f t="shared" si="2"/>
        <v>0</v>
      </c>
      <c r="J16" s="377"/>
      <c r="O16" s="1065"/>
    </row>
    <row r="17" spans="1:14">
      <c r="C17" s="467"/>
      <c r="J17" s="377"/>
      <c r="N17" s="1064"/>
    </row>
    <row r="18" spans="1:14">
      <c r="B18" s="467" t="s">
        <v>1033</v>
      </c>
      <c r="C18" s="29" t="s">
        <v>520</v>
      </c>
      <c r="D18" s="927"/>
      <c r="E18" s="927"/>
      <c r="F18" s="927"/>
      <c r="G18" s="927"/>
      <c r="H18" s="927"/>
      <c r="J18" s="377"/>
    </row>
    <row r="19" spans="1:14">
      <c r="J19" s="377"/>
    </row>
    <row r="22" spans="1:14">
      <c r="A22" s="1062" t="s">
        <v>1034</v>
      </c>
      <c r="B22" s="1066"/>
      <c r="C22" s="382"/>
      <c r="D22" s="382"/>
      <c r="E22" s="382"/>
      <c r="F22" s="382"/>
      <c r="G22" s="382"/>
      <c r="H22" s="382"/>
    </row>
    <row r="23" spans="1:14">
      <c r="D23" s="1478" t="str">
        <f>Reporting_Year&amp;" "&amp;"- Actuals"</f>
        <v>2024 - Actuals</v>
      </c>
      <c r="E23" s="1479"/>
      <c r="F23" s="1479"/>
      <c r="G23" s="1479"/>
      <c r="H23" s="1480"/>
    </row>
    <row r="24" spans="1:14">
      <c r="D24" s="1067" t="s">
        <v>1035</v>
      </c>
      <c r="E24" s="1067" t="s">
        <v>1036</v>
      </c>
      <c r="F24" s="1067" t="s">
        <v>1037</v>
      </c>
      <c r="G24" s="1067" t="s">
        <v>1038</v>
      </c>
      <c r="H24" s="1067" t="s">
        <v>1039</v>
      </c>
    </row>
    <row r="25" spans="1:14" ht="35.15" customHeight="1">
      <c r="C25" s="136" t="s">
        <v>1040</v>
      </c>
      <c r="D25" s="1068"/>
      <c r="E25" s="1068"/>
      <c r="F25" s="1068"/>
      <c r="G25" s="1068"/>
      <c r="H25" s="1068"/>
    </row>
    <row r="26" spans="1:14" ht="44.5" customHeight="1">
      <c r="B26" s="467" t="s">
        <v>1041</v>
      </c>
    </row>
    <row r="27" spans="1:14">
      <c r="B27" s="136" t="s">
        <v>1042</v>
      </c>
      <c r="C27" s="29" t="s">
        <v>520</v>
      </c>
      <c r="D27" s="1069"/>
      <c r="E27" s="1070"/>
      <c r="F27" s="1070"/>
      <c r="G27" s="1070"/>
      <c r="H27" s="1070"/>
    </row>
    <row r="28" spans="1:14">
      <c r="B28" s="136" t="s">
        <v>1043</v>
      </c>
      <c r="C28" s="29" t="s">
        <v>520</v>
      </c>
      <c r="D28" s="1071"/>
      <c r="E28" s="1072"/>
      <c r="F28" s="1072"/>
      <c r="G28" s="1072"/>
      <c r="H28" s="1072"/>
    </row>
    <row r="29" spans="1:14">
      <c r="B29" s="601" t="s">
        <v>932</v>
      </c>
      <c r="C29" s="29" t="s">
        <v>520</v>
      </c>
      <c r="D29" s="1071"/>
      <c r="E29" s="1072"/>
      <c r="F29" s="1072"/>
      <c r="G29" s="1072"/>
      <c r="H29" s="1072"/>
    </row>
    <row r="30" spans="1:14">
      <c r="B30" s="136" t="s">
        <v>1044</v>
      </c>
      <c r="C30" s="29" t="s">
        <v>520</v>
      </c>
      <c r="D30" s="1073"/>
      <c r="E30" s="1074"/>
      <c r="F30" s="1074"/>
      <c r="G30" s="1074"/>
      <c r="H30" s="1074"/>
    </row>
    <row r="31" spans="1:14">
      <c r="B31" s="601" t="s">
        <v>932</v>
      </c>
      <c r="C31" s="29" t="s">
        <v>520</v>
      </c>
      <c r="D31" s="1075"/>
      <c r="E31" s="1076"/>
      <c r="F31" s="1076"/>
      <c r="G31" s="1076"/>
      <c r="H31" s="1076"/>
    </row>
    <row r="32" spans="1:14">
      <c r="B32" s="136" t="s">
        <v>1045</v>
      </c>
      <c r="C32" s="29" t="s">
        <v>520</v>
      </c>
      <c r="D32" s="1075"/>
      <c r="E32" s="1076"/>
      <c r="F32" s="1076"/>
      <c r="G32" s="1076"/>
      <c r="H32" s="1076"/>
    </row>
    <row r="33" spans="2:8">
      <c r="B33" s="601" t="s">
        <v>932</v>
      </c>
      <c r="C33" s="29" t="s">
        <v>520</v>
      </c>
      <c r="D33" s="1069"/>
      <c r="E33" s="1070"/>
      <c r="F33" s="1070"/>
      <c r="G33" s="1070"/>
      <c r="H33" s="1070"/>
    </row>
    <row r="34" spans="2:8">
      <c r="B34" s="467" t="s">
        <v>1046</v>
      </c>
      <c r="C34" s="29" t="s">
        <v>520</v>
      </c>
      <c r="D34" s="1082">
        <f>SUM(D27:D33)</f>
        <v>0</v>
      </c>
      <c r="E34" s="1082">
        <f>SUM(E27:E33)</f>
        <v>0</v>
      </c>
      <c r="F34" s="1082">
        <f>SUM(F27:F33)</f>
        <v>0</v>
      </c>
      <c r="G34" s="1082">
        <f>SUM(G27:G33)</f>
        <v>0</v>
      </c>
      <c r="H34" s="1082">
        <f>SUM(H27:H33)</f>
        <v>0</v>
      </c>
    </row>
    <row r="35" spans="2:8">
      <c r="B35" s="467" t="s">
        <v>1047</v>
      </c>
      <c r="C35" s="29" t="s">
        <v>520</v>
      </c>
      <c r="D35" s="1077"/>
      <c r="E35" s="1077"/>
      <c r="F35" s="1077"/>
      <c r="G35" s="1077"/>
      <c r="H35" s="1077"/>
    </row>
    <row r="36" spans="2:8">
      <c r="B36" s="601"/>
      <c r="D36" s="1078"/>
      <c r="E36" s="1078"/>
      <c r="F36" s="1078"/>
      <c r="G36" s="1078"/>
      <c r="H36" s="1078"/>
    </row>
    <row r="37" spans="2:8">
      <c r="B37" s="467" t="s">
        <v>1048</v>
      </c>
      <c r="D37" s="1078"/>
      <c r="E37" s="1078"/>
      <c r="F37" s="1078"/>
      <c r="G37" s="1078"/>
      <c r="H37" s="1078"/>
    </row>
    <row r="38" spans="2:8">
      <c r="B38" s="136" t="s">
        <v>1049</v>
      </c>
      <c r="C38" s="29" t="s">
        <v>520</v>
      </c>
      <c r="D38" s="1069"/>
      <c r="E38" s="1070"/>
      <c r="F38" s="1070"/>
      <c r="G38" s="1070"/>
      <c r="H38" s="1070"/>
    </row>
    <row r="39" spans="2:8">
      <c r="B39" s="601" t="s">
        <v>932</v>
      </c>
      <c r="C39" s="29" t="s">
        <v>520</v>
      </c>
      <c r="D39" s="1075"/>
      <c r="E39" s="1076"/>
      <c r="F39" s="1076"/>
      <c r="G39" s="1076"/>
      <c r="H39" s="1076"/>
    </row>
    <row r="40" spans="2:8">
      <c r="B40" s="136" t="s">
        <v>1050</v>
      </c>
      <c r="C40" s="29" t="s">
        <v>520</v>
      </c>
      <c r="D40" s="1073"/>
      <c r="E40" s="1074"/>
      <c r="F40" s="1074"/>
      <c r="G40" s="1074"/>
      <c r="H40" s="1074"/>
    </row>
    <row r="41" spans="2:8">
      <c r="B41" s="601" t="s">
        <v>932</v>
      </c>
      <c r="C41" s="29" t="s">
        <v>520</v>
      </c>
      <c r="D41" s="1075"/>
      <c r="E41" s="1076"/>
      <c r="F41" s="1076"/>
      <c r="G41" s="1076"/>
      <c r="H41" s="1076"/>
    </row>
    <row r="42" spans="2:8">
      <c r="B42" s="467" t="s">
        <v>1051</v>
      </c>
      <c r="C42" s="29" t="s">
        <v>520</v>
      </c>
      <c r="D42" s="1083">
        <f t="shared" ref="D42:H42" si="3">SUM(D38:D41)</f>
        <v>0</v>
      </c>
      <c r="E42" s="1083">
        <f t="shared" si="3"/>
        <v>0</v>
      </c>
      <c r="F42" s="1083">
        <f t="shared" si="3"/>
        <v>0</v>
      </c>
      <c r="G42" s="1083">
        <f t="shared" si="3"/>
        <v>0</v>
      </c>
      <c r="H42" s="1083">
        <f t="shared" si="3"/>
        <v>0</v>
      </c>
    </row>
    <row r="43" spans="2:8">
      <c r="B43" s="467" t="s">
        <v>1047</v>
      </c>
      <c r="C43" s="29" t="s">
        <v>520</v>
      </c>
      <c r="D43" s="1077"/>
      <c r="E43" s="1077"/>
      <c r="F43" s="1077"/>
      <c r="G43" s="1077"/>
      <c r="H43" s="1077"/>
    </row>
    <row r="44" spans="2:8">
      <c r="D44" s="1078"/>
      <c r="E44" s="1078"/>
      <c r="F44" s="1078"/>
      <c r="G44" s="1078"/>
      <c r="H44" s="1078"/>
    </row>
    <row r="45" spans="2:8">
      <c r="B45" s="467" t="s">
        <v>1052</v>
      </c>
      <c r="C45" s="29" t="s">
        <v>520</v>
      </c>
      <c r="D45" s="1083">
        <f t="shared" ref="D45:H45" si="4">SUM(D34,D42)</f>
        <v>0</v>
      </c>
      <c r="E45" s="1083">
        <f t="shared" si="4"/>
        <v>0</v>
      </c>
      <c r="F45" s="1083">
        <f t="shared" si="4"/>
        <v>0</v>
      </c>
      <c r="G45" s="1083">
        <f t="shared" si="4"/>
        <v>0</v>
      </c>
      <c r="H45" s="1083">
        <f t="shared" si="4"/>
        <v>0</v>
      </c>
    </row>
    <row r="46" spans="2:8">
      <c r="B46" s="467" t="s">
        <v>1053</v>
      </c>
      <c r="C46" s="29" t="s">
        <v>520</v>
      </c>
      <c r="D46" s="1083">
        <f>D35+D43</f>
        <v>0</v>
      </c>
      <c r="E46" s="1083">
        <f t="shared" ref="E46:H46" si="5">E35+E43</f>
        <v>0</v>
      </c>
      <c r="F46" s="1083">
        <f t="shared" si="5"/>
        <v>0</v>
      </c>
      <c r="G46" s="1083">
        <f t="shared" si="5"/>
        <v>0</v>
      </c>
      <c r="H46" s="1083">
        <f t="shared" si="5"/>
        <v>0</v>
      </c>
    </row>
    <row r="47" spans="2:8">
      <c r="D47" s="1078"/>
      <c r="E47" s="1078"/>
      <c r="F47" s="1078"/>
      <c r="G47" s="1078"/>
      <c r="H47" s="1078"/>
    </row>
    <row r="48" spans="2:8">
      <c r="B48" s="467" t="s">
        <v>1054</v>
      </c>
      <c r="D48" s="1078"/>
      <c r="E48" s="1078"/>
      <c r="F48" s="1078"/>
      <c r="G48" s="1078"/>
      <c r="H48" s="1078"/>
    </row>
    <row r="49" spans="2:14">
      <c r="B49" s="136" t="s">
        <v>1055</v>
      </c>
      <c r="C49" s="29" t="s">
        <v>1056</v>
      </c>
      <c r="D49" s="1069"/>
      <c r="E49" s="1070"/>
      <c r="F49" s="1070"/>
      <c r="G49" s="1070"/>
      <c r="H49" s="1070"/>
    </row>
    <row r="50" spans="2:14">
      <c r="B50" s="601" t="s">
        <v>932</v>
      </c>
      <c r="C50" s="29"/>
      <c r="D50" s="1069"/>
      <c r="E50" s="1070"/>
      <c r="F50" s="1070"/>
      <c r="G50" s="1070"/>
      <c r="H50" s="1070"/>
    </row>
    <row r="51" spans="2:14">
      <c r="B51" s="136" t="s">
        <v>1057</v>
      </c>
      <c r="C51" s="29" t="s">
        <v>484</v>
      </c>
      <c r="D51" s="1069"/>
      <c r="E51" s="1070"/>
      <c r="F51" s="1070"/>
      <c r="G51" s="1070"/>
      <c r="H51" s="1070"/>
    </row>
    <row r="52" spans="2:14">
      <c r="B52" s="226" t="s">
        <v>1058</v>
      </c>
      <c r="C52" s="29" t="s">
        <v>484</v>
      </c>
      <c r="D52" s="1069"/>
      <c r="E52" s="1070"/>
      <c r="F52" s="1070"/>
      <c r="G52" s="1070"/>
      <c r="H52" s="1070"/>
    </row>
    <row r="53" spans="2:14">
      <c r="B53" s="467" t="s">
        <v>1059</v>
      </c>
      <c r="C53" s="29" t="s">
        <v>520</v>
      </c>
      <c r="D53" s="1069"/>
      <c r="E53" s="1070"/>
      <c r="F53" s="1070"/>
      <c r="G53" s="1070"/>
      <c r="H53" s="1070"/>
    </row>
    <row r="54" spans="2:14">
      <c r="B54" s="226" t="s">
        <v>1060</v>
      </c>
      <c r="C54" s="29" t="s">
        <v>1061</v>
      </c>
      <c r="D54" s="1069"/>
      <c r="E54" s="1070"/>
      <c r="F54" s="1070"/>
      <c r="G54" s="1070"/>
      <c r="H54" s="1070"/>
    </row>
    <row r="55" spans="2:14">
      <c r="B55" s="226" t="s">
        <v>1062</v>
      </c>
      <c r="C55" s="29" t="s">
        <v>1063</v>
      </c>
      <c r="D55" s="1069"/>
      <c r="E55" s="1070"/>
      <c r="F55" s="1070"/>
      <c r="G55" s="1070"/>
      <c r="H55" s="1070"/>
    </row>
    <row r="56" spans="2:14">
      <c r="B56" s="226" t="s">
        <v>1064</v>
      </c>
      <c r="C56" s="29" t="s">
        <v>1061</v>
      </c>
      <c r="D56" s="1069"/>
      <c r="E56" s="1070"/>
      <c r="F56" s="1070"/>
      <c r="G56" s="1070"/>
      <c r="H56" s="1070"/>
    </row>
    <row r="57" spans="2:14">
      <c r="B57" s="467" t="s">
        <v>1065</v>
      </c>
      <c r="C57" s="29" t="s">
        <v>520</v>
      </c>
      <c r="D57" s="1084">
        <f>D55*D56</f>
        <v>0</v>
      </c>
      <c r="E57" s="1084">
        <f t="shared" ref="E57:H57" si="6">E55*E56</f>
        <v>0</v>
      </c>
      <c r="F57" s="1084">
        <f t="shared" si="6"/>
        <v>0</v>
      </c>
      <c r="G57" s="1084">
        <f t="shared" si="6"/>
        <v>0</v>
      </c>
      <c r="H57" s="1084">
        <f t="shared" si="6"/>
        <v>0</v>
      </c>
    </row>
    <row r="58" spans="2:14">
      <c r="C58" s="29"/>
      <c r="D58" s="1078"/>
      <c r="E58" s="1078"/>
      <c r="F58" s="1078"/>
      <c r="G58" s="1078"/>
      <c r="H58" s="1078"/>
    </row>
    <row r="59" spans="2:14">
      <c r="B59" s="467" t="s">
        <v>1066</v>
      </c>
      <c r="C59" s="29" t="s">
        <v>520</v>
      </c>
      <c r="D59" s="1069"/>
      <c r="E59" s="1070"/>
      <c r="F59" s="1070"/>
      <c r="G59" s="1070"/>
      <c r="H59" s="1070"/>
    </row>
    <row r="60" spans="2:14">
      <c r="B60" s="467"/>
      <c r="C60" s="467"/>
      <c r="D60" s="1079"/>
      <c r="E60" s="1079"/>
      <c r="F60" s="1079"/>
      <c r="G60" s="1079"/>
      <c r="H60" s="1079"/>
      <c r="I60" s="467"/>
      <c r="J60" s="467"/>
      <c r="K60" s="467"/>
      <c r="L60" s="467"/>
      <c r="M60" s="467"/>
      <c r="N60" s="467"/>
    </row>
    <row r="61" spans="2:14">
      <c r="B61" s="467" t="s">
        <v>1067</v>
      </c>
      <c r="C61" s="29"/>
      <c r="D61" s="1084">
        <f>D53+D57+D59</f>
        <v>0</v>
      </c>
      <c r="E61" s="1084">
        <f>E53+E57+E59</f>
        <v>0</v>
      </c>
      <c r="F61" s="1084">
        <f>F53+F57+F59</f>
        <v>0</v>
      </c>
      <c r="G61" s="1084">
        <f>G53+G57+G59</f>
        <v>0</v>
      </c>
      <c r="H61" s="1084">
        <f>H53+H57+H59</f>
        <v>0</v>
      </c>
    </row>
    <row r="62" spans="2:14">
      <c r="B62" s="467" t="s">
        <v>1047</v>
      </c>
      <c r="C62" s="29" t="s">
        <v>520</v>
      </c>
      <c r="D62" s="1069"/>
      <c r="E62" s="1070"/>
      <c r="F62" s="1070"/>
      <c r="G62" s="1070"/>
      <c r="H62" s="1070"/>
    </row>
    <row r="63" spans="2:14">
      <c r="B63" s="467"/>
      <c r="C63" s="29"/>
      <c r="D63" s="1079"/>
      <c r="E63" s="1079"/>
      <c r="F63" s="1079"/>
      <c r="G63" s="1079"/>
      <c r="H63" s="1079"/>
      <c r="J63" s="467"/>
      <c r="K63" s="467"/>
    </row>
    <row r="64" spans="2:14">
      <c r="B64" s="467" t="s">
        <v>1068</v>
      </c>
      <c r="C64" s="29" t="s">
        <v>520</v>
      </c>
      <c r="D64" s="1084">
        <f>D45+D61</f>
        <v>0</v>
      </c>
      <c r="E64" s="1084">
        <f t="shared" ref="E64:H64" si="7">E45+E61</f>
        <v>0</v>
      </c>
      <c r="F64" s="1084">
        <f t="shared" si="7"/>
        <v>0</v>
      </c>
      <c r="G64" s="1084">
        <f t="shared" si="7"/>
        <v>0</v>
      </c>
      <c r="H64" s="1084">
        <f t="shared" si="7"/>
        <v>0</v>
      </c>
    </row>
    <row r="65" spans="1:12">
      <c r="B65" s="467" t="s">
        <v>1069</v>
      </c>
      <c r="C65" s="29" t="s">
        <v>520</v>
      </c>
      <c r="D65" s="1084">
        <f>D46+D62</f>
        <v>0</v>
      </c>
      <c r="E65" s="1084">
        <f t="shared" ref="E65:H65" si="8">E46+E62</f>
        <v>0</v>
      </c>
      <c r="F65" s="1084">
        <f t="shared" si="8"/>
        <v>0</v>
      </c>
      <c r="G65" s="1084">
        <f t="shared" si="8"/>
        <v>0</v>
      </c>
      <c r="H65" s="1084">
        <f t="shared" si="8"/>
        <v>0</v>
      </c>
      <c r="J65" s="467"/>
    </row>
    <row r="66" spans="1:12">
      <c r="B66" s="467"/>
      <c r="C66" s="29"/>
      <c r="D66" s="581"/>
      <c r="E66" s="581"/>
      <c r="F66" s="581"/>
      <c r="G66" s="581"/>
      <c r="H66" s="581"/>
      <c r="J66" s="467"/>
    </row>
    <row r="67" spans="1:12">
      <c r="B67" s="467" t="s">
        <v>1070</v>
      </c>
      <c r="C67" s="29"/>
      <c r="D67" s="581"/>
      <c r="E67" s="581"/>
      <c r="F67" s="581"/>
      <c r="G67" s="581"/>
      <c r="H67" s="581"/>
      <c r="I67" s="581"/>
      <c r="J67" s="581"/>
      <c r="K67" s="581"/>
    </row>
    <row r="68" spans="1:12">
      <c r="B68" s="136" t="s">
        <v>1071</v>
      </c>
      <c r="C68" s="29"/>
      <c r="D68" s="1339" t="s">
        <v>1208</v>
      </c>
      <c r="E68" s="581"/>
      <c r="F68" s="581"/>
      <c r="G68" s="581"/>
      <c r="H68" s="581"/>
      <c r="I68" s="581"/>
      <c r="J68" s="581"/>
      <c r="K68" s="581"/>
    </row>
    <row r="69" spans="1:12">
      <c r="B69" s="136" t="s">
        <v>1072</v>
      </c>
      <c r="C69" s="29"/>
      <c r="D69" s="1339" t="s">
        <v>1209</v>
      </c>
      <c r="E69" s="581"/>
      <c r="F69" s="581"/>
      <c r="G69" s="581"/>
      <c r="H69" s="581"/>
      <c r="I69" s="581"/>
      <c r="J69" s="581"/>
      <c r="K69" s="581"/>
    </row>
    <row r="70" spans="1:12">
      <c r="B70" s="136" t="s">
        <v>1073</v>
      </c>
      <c r="C70" s="29"/>
      <c r="D70" s="1339" t="s">
        <v>1210</v>
      </c>
      <c r="E70" s="581"/>
      <c r="F70" s="581"/>
      <c r="G70" s="581"/>
      <c r="H70" s="581"/>
      <c r="I70" s="581"/>
      <c r="J70" s="581"/>
      <c r="K70" s="581"/>
    </row>
    <row r="71" spans="1:12">
      <c r="B71" s="467"/>
      <c r="C71" s="29"/>
      <c r="D71" s="581"/>
      <c r="E71" s="581"/>
      <c r="F71" s="581"/>
      <c r="G71" s="581"/>
      <c r="H71" s="581"/>
      <c r="I71" s="581"/>
      <c r="J71" s="581"/>
      <c r="K71" s="581"/>
    </row>
    <row r="72" spans="1:12">
      <c r="A72" s="466" t="s">
        <v>1074</v>
      </c>
      <c r="B72" s="467"/>
      <c r="C72" s="29"/>
      <c r="D72" s="29"/>
      <c r="E72" s="581"/>
      <c r="F72" s="581"/>
      <c r="G72" s="581"/>
      <c r="H72" s="581"/>
      <c r="I72" s="581"/>
      <c r="J72" s="581"/>
      <c r="K72" s="581"/>
      <c r="L72" s="29"/>
    </row>
    <row r="73" spans="1:12">
      <c r="A73" s="466" t="s">
        <v>1075</v>
      </c>
      <c r="B73" s="467"/>
      <c r="C73" s="467"/>
      <c r="D73" s="467"/>
      <c r="E73" s="581"/>
      <c r="F73" s="467"/>
      <c r="G73" s="467"/>
      <c r="H73" s="467"/>
      <c r="I73" s="467"/>
      <c r="J73" s="467"/>
    </row>
    <row r="74" spans="1:12">
      <c r="A74" s="466"/>
      <c r="B74" s="467"/>
      <c r="C74" s="467"/>
      <c r="D74" s="467"/>
      <c r="E74" s="467"/>
      <c r="F74" s="467"/>
      <c r="G74" s="467"/>
      <c r="H74" s="467"/>
      <c r="I74" s="467"/>
      <c r="J74" s="467"/>
    </row>
    <row r="75" spans="1:12">
      <c r="B75" s="467" t="s">
        <v>1076</v>
      </c>
    </row>
    <row r="76" spans="1:12">
      <c r="B76" s="467"/>
    </row>
    <row r="77" spans="1:12">
      <c r="B77" s="1352" t="s">
        <v>1211</v>
      </c>
      <c r="C77" s="1353"/>
      <c r="D77" s="1353"/>
      <c r="E77" s="1353"/>
      <c r="F77" s="1353"/>
      <c r="G77" s="1354"/>
      <c r="H77" s="1355"/>
    </row>
    <row r="78" spans="1:12">
      <c r="B78" s="1356" t="s">
        <v>1212</v>
      </c>
      <c r="C78" s="1357"/>
      <c r="D78" s="1358"/>
      <c r="E78" s="1359"/>
      <c r="F78" s="1359"/>
      <c r="G78" s="1359"/>
      <c r="H78" s="1360"/>
    </row>
    <row r="79" spans="1:12">
      <c r="B79" s="1356" t="s">
        <v>1213</v>
      </c>
      <c r="C79" s="1357"/>
      <c r="D79" s="1358"/>
      <c r="E79" s="1359"/>
      <c r="F79" s="1359"/>
      <c r="G79" s="1359"/>
      <c r="H79" s="1360"/>
    </row>
    <row r="80" spans="1:12">
      <c r="B80" s="1356" t="s">
        <v>1214</v>
      </c>
      <c r="C80" s="1357"/>
      <c r="D80" s="1358"/>
      <c r="E80" s="1359"/>
      <c r="F80" s="1359"/>
      <c r="G80" s="1359"/>
      <c r="H80" s="1360"/>
    </row>
    <row r="81" spans="2:8">
      <c r="B81" s="1361"/>
      <c r="C81" s="1357"/>
      <c r="D81" s="1358"/>
      <c r="E81" s="1359"/>
      <c r="F81" s="1359"/>
      <c r="G81" s="1359"/>
      <c r="H81" s="1360"/>
    </row>
    <row r="82" spans="2:8">
      <c r="B82" s="1080"/>
      <c r="C82" s="1081"/>
      <c r="D82" s="477"/>
      <c r="E82" s="478"/>
      <c r="F82" s="478"/>
      <c r="G82" s="478"/>
      <c r="H82" s="479"/>
    </row>
  </sheetData>
  <sheetProtection insertRows="0" sort="0" autoFilter="0" pivotTables="0"/>
  <mergeCells count="1">
    <mergeCell ref="D23:H23"/>
  </mergeCells>
  <phoneticPr fontId="261" type="noConversion"/>
  <conditionalFormatting sqref="D5:G6">
    <cfRule type="expression" dxfId="24" priority="38">
      <formula>AND(D$5="Actuals",E$5="N/A")</formula>
    </cfRule>
  </conditionalFormatting>
  <conditionalFormatting sqref="D5:H6 D27:H35 D43:H43 D49:H57 D64:H66 D67:K67 D71 F68:K72 E68:E73">
    <cfRule type="expression" dxfId="23" priority="30">
      <formula>D$5="N/A"</formula>
    </cfRule>
  </conditionalFormatting>
  <conditionalFormatting sqref="D7:H7">
    <cfRule type="expression" dxfId="22" priority="13">
      <formula>AND(D$5="Actuals",E$5="Forecast")</formula>
    </cfRule>
  </conditionalFormatting>
  <conditionalFormatting sqref="G11:H11">
    <cfRule type="expression" dxfId="21" priority="8">
      <formula>G$5="Forecast"</formula>
    </cfRule>
  </conditionalFormatting>
  <conditionalFormatting sqref="D16:H16 G13:H15">
    <cfRule type="expression" dxfId="20" priority="4">
      <formula>D$5="Forecast"</formula>
    </cfRule>
  </conditionalFormatting>
  <conditionalFormatting sqref="D18:H18">
    <cfRule type="expression" dxfId="19" priority="5">
      <formula>D$5="Forecast"</formula>
    </cfRule>
  </conditionalFormatting>
  <conditionalFormatting sqref="D20:H20">
    <cfRule type="expression" priority="24">
      <formula>D$5="N/A"</formula>
    </cfRule>
  </conditionalFormatting>
  <conditionalFormatting sqref="D38:H41">
    <cfRule type="expression" dxfId="18" priority="14">
      <formula>D$5="N/A"</formula>
    </cfRule>
  </conditionalFormatting>
  <conditionalFormatting sqref="D59:H59 D61:H62">
    <cfRule type="expression" dxfId="17" priority="16">
      <formula>D$5="N/A"</formula>
    </cfRule>
  </conditionalFormatting>
  <conditionalFormatting sqref="H5:H6">
    <cfRule type="expression" dxfId="16" priority="277">
      <formula>AND(H$5="Actuals",#REF!="N/A")</formula>
    </cfRule>
  </conditionalFormatting>
  <conditionalFormatting sqref="D11:F11">
    <cfRule type="expression" dxfId="15" priority="3">
      <formula>D$5="Forecast"</formula>
    </cfRule>
  </conditionalFormatting>
  <conditionalFormatting sqref="D13:F15">
    <cfRule type="expression" dxfId="14" priority="2">
      <formula>D$5="Forecast"</formula>
    </cfRule>
  </conditionalFormatting>
  <conditionalFormatting sqref="D68:D70">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3.5"/>
  <cols>
    <col min="1" max="1" width="8.3828125" style="136" customWidth="1"/>
    <col min="2" max="2" width="77.23046875" style="136" bestFit="1" customWidth="1"/>
    <col min="3" max="3" width="14.15234375" style="136" customWidth="1"/>
    <col min="4" max="8" width="11.15234375" style="136" customWidth="1"/>
    <col min="9" max="9" width="6.61328125" style="136" bestFit="1" customWidth="1"/>
    <col min="10" max="16384" width="9" style="136"/>
  </cols>
  <sheetData>
    <row r="1" spans="1:10" ht="20">
      <c r="A1" s="362" t="s">
        <v>1077</v>
      </c>
      <c r="B1" s="364"/>
      <c r="C1" s="365"/>
      <c r="D1" s="365"/>
      <c r="E1" s="365"/>
      <c r="F1" s="365"/>
      <c r="G1" s="365"/>
      <c r="H1" s="365"/>
      <c r="I1" s="494"/>
    </row>
    <row r="2" spans="1:10" ht="20">
      <c r="A2" s="367" t="str">
        <f>Licensee</f>
        <v>SGN - Southern</v>
      </c>
      <c r="B2" s="369"/>
      <c r="C2" s="370"/>
      <c r="D2" s="370"/>
      <c r="E2" s="370"/>
      <c r="F2" s="370"/>
      <c r="G2" s="370"/>
      <c r="H2" s="370"/>
      <c r="I2" s="372"/>
    </row>
    <row r="3" spans="1:10" ht="20">
      <c r="A3" s="369">
        <f>Reporting_Year</f>
        <v>2024</v>
      </c>
      <c r="B3" s="590"/>
      <c r="C3" s="373"/>
      <c r="D3" s="373"/>
      <c r="E3" s="373"/>
      <c r="F3" s="373"/>
      <c r="G3" s="373"/>
      <c r="H3" s="373"/>
      <c r="I3" s="375"/>
    </row>
    <row r="4" spans="1:10" s="377" customFormat="1" ht="12.75" customHeight="1">
      <c r="B4" s="517"/>
      <c r="C4" s="136"/>
      <c r="D4" s="820"/>
      <c r="E4" s="820"/>
    </row>
    <row r="5" spans="1:10" s="377" customFormat="1" ht="12.75" customHeight="1">
      <c r="B5" s="517"/>
      <c r="C5" s="136"/>
      <c r="D5" s="1085" t="str">
        <f t="shared" ref="D5:H5" si="0">IF(D6&lt;=Reporting_Year,"Actuals","Forecast")</f>
        <v>Actuals</v>
      </c>
      <c r="E5" s="1085" t="str">
        <f t="shared" si="0"/>
        <v>Actuals</v>
      </c>
      <c r="F5" s="1085" t="str">
        <f t="shared" si="0"/>
        <v>Actuals</v>
      </c>
      <c r="G5" s="1085" t="str">
        <f t="shared" si="0"/>
        <v>Forecast</v>
      </c>
      <c r="H5" s="1085" t="str">
        <f t="shared" si="0"/>
        <v>Forecast</v>
      </c>
      <c r="I5" s="505"/>
    </row>
    <row r="6" spans="1:10" s="377" customFormat="1">
      <c r="C6" s="136"/>
      <c r="D6" s="597">
        <f>'RFPR cover'!$C$6</f>
        <v>2022</v>
      </c>
      <c r="E6" s="597">
        <f>D6+1</f>
        <v>2023</v>
      </c>
      <c r="F6" s="597">
        <f t="shared" ref="F6:H6" si="1">E6+1</f>
        <v>2024</v>
      </c>
      <c r="G6" s="597">
        <f t="shared" si="1"/>
        <v>2025</v>
      </c>
      <c r="H6" s="597">
        <f t="shared" si="1"/>
        <v>2026</v>
      </c>
      <c r="I6" s="505"/>
    </row>
    <row r="7" spans="1:10" s="377" customFormat="1">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597" t="str">
        <f>RIIO_2_start_date+3&amp;"/"&amp;RIGHT(RIIO_2_start_date+4,2)</f>
        <v>2025/26</v>
      </c>
      <c r="I7" s="505"/>
    </row>
    <row r="8" spans="1:10" s="377" customFormat="1">
      <c r="I8" s="505"/>
    </row>
    <row r="9" spans="1:10" s="377" customFormat="1">
      <c r="B9" s="1086" t="s">
        <v>1078</v>
      </c>
      <c r="C9" s="430"/>
      <c r="D9" s="431"/>
      <c r="E9" s="431"/>
      <c r="F9" s="431"/>
      <c r="G9" s="431"/>
      <c r="H9" s="431"/>
      <c r="I9" s="505"/>
    </row>
    <row r="10" spans="1:10" s="377" customFormat="1">
      <c r="B10" s="519"/>
      <c r="C10" s="29"/>
      <c r="I10" s="505"/>
    </row>
    <row r="11" spans="1:10" s="377" customFormat="1">
      <c r="B11" s="519"/>
      <c r="C11" s="29"/>
      <c r="I11" s="505"/>
    </row>
    <row r="12" spans="1:10">
      <c r="B12" s="467" t="s">
        <v>1079</v>
      </c>
      <c r="C12" s="29" t="s">
        <v>520</v>
      </c>
      <c r="D12" s="1362">
        <v>7.4949999999999992</v>
      </c>
      <c r="E12" s="1087"/>
      <c r="F12" s="1087"/>
      <c r="G12" s="1087"/>
      <c r="H12" s="1087"/>
      <c r="I12" s="505"/>
      <c r="J12" s="377"/>
    </row>
    <row r="13" spans="1:10">
      <c r="B13" s="599" t="s">
        <v>1080</v>
      </c>
      <c r="D13" s="904"/>
      <c r="E13" s="904"/>
      <c r="F13" s="904"/>
      <c r="G13" s="904"/>
      <c r="H13" s="904"/>
      <c r="J13" s="377"/>
    </row>
    <row r="14" spans="1:10">
      <c r="B14" s="136" t="s">
        <v>1081</v>
      </c>
      <c r="C14" s="29" t="s">
        <v>520</v>
      </c>
      <c r="D14" s="1362">
        <v>1.875</v>
      </c>
      <c r="E14" s="1087"/>
      <c r="F14" s="1087"/>
      <c r="G14" s="1087"/>
      <c r="H14" s="1087"/>
      <c r="I14" s="505"/>
      <c r="J14" s="377"/>
    </row>
    <row r="15" spans="1:10">
      <c r="B15" s="136" t="s">
        <v>1082</v>
      </c>
      <c r="C15" s="29" t="s">
        <v>520</v>
      </c>
      <c r="D15" s="1362">
        <v>5.625</v>
      </c>
      <c r="E15" s="1087"/>
      <c r="F15" s="1087"/>
      <c r="G15" s="1087"/>
      <c r="H15" s="1087"/>
      <c r="I15" s="505"/>
      <c r="J15" s="377"/>
    </row>
    <row r="16" spans="1:10">
      <c r="D16" s="904"/>
      <c r="E16" s="904"/>
      <c r="F16" s="904"/>
      <c r="G16" s="904"/>
      <c r="H16" s="904"/>
      <c r="I16" s="505"/>
      <c r="J16" s="377"/>
    </row>
    <row r="17" spans="2:10">
      <c r="D17" s="904"/>
      <c r="E17" s="904"/>
      <c r="F17" s="904"/>
      <c r="G17" s="904"/>
      <c r="H17" s="904"/>
      <c r="I17" s="505"/>
      <c r="J17" s="377"/>
    </row>
    <row r="18" spans="2:10">
      <c r="B18" s="136" t="s">
        <v>1081</v>
      </c>
      <c r="C18" s="884" t="str">
        <f>Data!$C$9</f>
        <v>£m 18/19</v>
      </c>
      <c r="D18" s="262">
        <f t="shared" ref="D18:H18" si="2">D$14/INDEX(real_to_nominal_CF,MATCH(D6,calendar_year,0))</f>
        <v>1.7284554454888843</v>
      </c>
      <c r="E18" s="262">
        <f t="shared" si="2"/>
        <v>0</v>
      </c>
      <c r="F18" s="262">
        <f t="shared" si="2"/>
        <v>0</v>
      </c>
      <c r="G18" s="262">
        <f t="shared" si="2"/>
        <v>0</v>
      </c>
      <c r="H18" s="262">
        <f t="shared" si="2"/>
        <v>0</v>
      </c>
      <c r="I18" s="505"/>
      <c r="J18" s="377"/>
    </row>
    <row r="19" spans="2:10">
      <c r="D19" s="904"/>
      <c r="E19" s="904"/>
      <c r="F19" s="904"/>
      <c r="G19" s="904"/>
      <c r="H19" s="904"/>
      <c r="I19" s="505"/>
      <c r="J19" s="377"/>
    </row>
    <row r="20" spans="2:10">
      <c r="D20" s="904"/>
      <c r="E20" s="904"/>
      <c r="F20" s="904"/>
      <c r="G20" s="904"/>
      <c r="H20" s="904"/>
      <c r="I20" s="505"/>
      <c r="J20" s="377"/>
    </row>
    <row r="21" spans="2:10" s="377" customFormat="1">
      <c r="B21" s="467" t="s">
        <v>1083</v>
      </c>
      <c r="C21" s="884" t="str">
        <f>Data!$C$9</f>
        <v>£m 18/19</v>
      </c>
      <c r="D21" s="894">
        <v>1.3</v>
      </c>
      <c r="E21" s="894"/>
      <c r="F21" s="894">
        <v>0.4</v>
      </c>
      <c r="G21" s="894"/>
      <c r="H21" s="894"/>
      <c r="I21" s="505"/>
    </row>
    <row r="22" spans="2:10" s="377" customFormat="1">
      <c r="B22" s="136" t="s">
        <v>1084</v>
      </c>
      <c r="C22" s="884" t="str">
        <f>Data!$C$9</f>
        <v>£m 18/19</v>
      </c>
      <c r="D22" s="819">
        <v>0.4</v>
      </c>
      <c r="E22" s="819">
        <v>0.4</v>
      </c>
      <c r="F22" s="819">
        <v>0.4</v>
      </c>
      <c r="G22" s="819"/>
      <c r="H22" s="819"/>
      <c r="I22" s="505"/>
    </row>
    <row r="23" spans="2:10" s="377" customFormat="1">
      <c r="B23" s="467" t="s">
        <v>1085</v>
      </c>
      <c r="C23" s="884" t="str">
        <f>Data!$C$9</f>
        <v>£m 18/19</v>
      </c>
      <c r="D23" s="262">
        <f>D21-D22</f>
        <v>0.9</v>
      </c>
      <c r="E23" s="262">
        <f t="shared" ref="E23:H23" si="3">E21-E22</f>
        <v>-0.4</v>
      </c>
      <c r="F23" s="262">
        <f t="shared" si="3"/>
        <v>0</v>
      </c>
      <c r="G23" s="262">
        <f t="shared" si="3"/>
        <v>0</v>
      </c>
      <c r="H23" s="262">
        <f t="shared" si="3"/>
        <v>0</v>
      </c>
      <c r="I23" s="505"/>
    </row>
    <row r="24" spans="2:10" s="377" customFormat="1">
      <c r="B24" s="467"/>
      <c r="C24" s="467"/>
      <c r="D24" s="467"/>
      <c r="E24" s="467"/>
      <c r="F24" s="467"/>
      <c r="G24" s="467"/>
      <c r="H24" s="467"/>
      <c r="I24" s="505"/>
    </row>
    <row r="25" spans="2:10" s="377" customFormat="1">
      <c r="B25" s="467"/>
      <c r="C25" s="467"/>
      <c r="D25" s="1481" t="s">
        <v>1086</v>
      </c>
      <c r="E25" s="467"/>
      <c r="F25" s="467"/>
      <c r="G25" s="467"/>
      <c r="H25" s="467"/>
      <c r="I25" s="505"/>
    </row>
    <row r="26" spans="2:10" s="377" customFormat="1" ht="12.75" customHeight="1">
      <c r="B26" s="467"/>
      <c r="C26" s="467"/>
      <c r="D26" s="1482"/>
      <c r="E26" s="467"/>
      <c r="F26" s="467"/>
      <c r="G26" s="467"/>
      <c r="H26" s="467"/>
      <c r="I26" s="505"/>
    </row>
    <row r="27" spans="2:10">
      <c r="C27" s="467"/>
      <c r="D27" s="1483"/>
      <c r="E27" s="467"/>
      <c r="F27" s="467"/>
      <c r="I27" s="505"/>
    </row>
    <row r="28" spans="2:10">
      <c r="B28" s="467" t="s">
        <v>1087</v>
      </c>
      <c r="C28" s="467"/>
      <c r="D28" s="1088">
        <v>44651</v>
      </c>
      <c r="E28" s="467"/>
      <c r="F28" s="467"/>
      <c r="I28" s="505"/>
    </row>
    <row r="29" spans="2:10">
      <c r="B29" s="467"/>
      <c r="C29" s="467"/>
      <c r="D29" s="1089"/>
      <c r="E29" s="467"/>
      <c r="F29" s="467"/>
      <c r="I29" s="505"/>
    </row>
    <row r="30" spans="2:10">
      <c r="B30" s="136" t="s">
        <v>953</v>
      </c>
      <c r="C30" s="467"/>
      <c r="D30" s="1090" t="s">
        <v>1215</v>
      </c>
      <c r="E30" s="467"/>
      <c r="F30" s="467"/>
      <c r="I30" s="505"/>
    </row>
    <row r="31" spans="2:10">
      <c r="C31" s="467"/>
      <c r="D31" s="467"/>
      <c r="E31" s="467"/>
      <c r="F31" s="467"/>
      <c r="H31"/>
      <c r="I31" s="505"/>
    </row>
    <row r="32" spans="2:10">
      <c r="B32" s="467"/>
      <c r="F32" s="467"/>
      <c r="I32" s="505"/>
    </row>
    <row r="33" spans="2:9">
      <c r="B33" s="136" t="s">
        <v>1088</v>
      </c>
      <c r="C33" s="1091" t="str">
        <f>"£m "&amp;$D$30</f>
        <v>£m nominal</v>
      </c>
      <c r="D33" s="819">
        <v>133.80000000000001</v>
      </c>
      <c r="E33" s="467"/>
      <c r="F33" s="467"/>
      <c r="I33" s="505"/>
    </row>
    <row r="34" spans="2:9">
      <c r="B34" s="136" t="s">
        <v>1089</v>
      </c>
      <c r="C34" s="1091" t="str">
        <f>"£m "&amp;$D$30</f>
        <v>£m nominal</v>
      </c>
      <c r="D34" s="819">
        <v>627.20000000000005</v>
      </c>
      <c r="E34" s="467"/>
      <c r="F34" s="467"/>
      <c r="I34" s="505"/>
    </row>
    <row r="35" spans="2:9">
      <c r="C35" s="1092"/>
      <c r="D35" s="904"/>
      <c r="E35" s="467"/>
      <c r="F35" s="467"/>
      <c r="I35" s="505"/>
    </row>
    <row r="36" spans="2:9">
      <c r="B36" s="136" t="s">
        <v>1090</v>
      </c>
      <c r="C36" s="1091" t="str">
        <f>"£m "&amp;$D$30</f>
        <v>£m nominal</v>
      </c>
      <c r="D36" s="819">
        <v>96.8</v>
      </c>
      <c r="I36" s="505"/>
    </row>
    <row r="37" spans="2:9">
      <c r="B37" s="136" t="s">
        <v>1091</v>
      </c>
      <c r="C37" s="1091" t="str">
        <f>"£m "&amp;$D$30</f>
        <v>£m nominal</v>
      </c>
      <c r="D37" s="819">
        <v>686.2</v>
      </c>
      <c r="I37" s="505"/>
    </row>
    <row r="38" spans="2:9">
      <c r="C38" s="1092"/>
      <c r="D38" s="904"/>
      <c r="I38" s="505"/>
    </row>
    <row r="39" spans="2:9">
      <c r="B39" s="610" t="s">
        <v>1092</v>
      </c>
      <c r="C39" s="1091" t="str">
        <f>"£m "&amp;$D$30</f>
        <v>£m nominal</v>
      </c>
      <c r="D39" s="262">
        <f>D33-D36</f>
        <v>37.000000000000014</v>
      </c>
      <c r="I39" s="505"/>
    </row>
    <row r="40" spans="2:9">
      <c r="B40" s="610" t="s">
        <v>1093</v>
      </c>
      <c r="C40" s="1091" t="str">
        <f>"£m "&amp;$D$30</f>
        <v>£m nominal</v>
      </c>
      <c r="D40" s="262">
        <f>D34-D37</f>
        <v>-59</v>
      </c>
      <c r="I40" s="505"/>
    </row>
    <row r="41" spans="2:9">
      <c r="C41" s="1092"/>
      <c r="D41" s="904"/>
      <c r="I41" s="505"/>
    </row>
    <row r="42" spans="2:9">
      <c r="B42" s="136" t="s">
        <v>1094</v>
      </c>
      <c r="C42" s="1091" t="str">
        <f>"£m "&amp;$D$30</f>
        <v>£m nominal</v>
      </c>
      <c r="D42" s="819">
        <v>-58.764000000000003</v>
      </c>
      <c r="I42" s="505"/>
    </row>
    <row r="43" spans="2:9">
      <c r="B43" s="136" t="s">
        <v>1095</v>
      </c>
      <c r="C43" s="1091" t="str">
        <f>"£m "&amp;$D$30</f>
        <v>£m nominal</v>
      </c>
      <c r="D43" s="819">
        <v>36.889000000000003</v>
      </c>
      <c r="I43" s="505"/>
    </row>
    <row r="44" spans="2:9">
      <c r="I44" s="505"/>
    </row>
    <row r="45" spans="2:9">
      <c r="I45" s="505"/>
    </row>
    <row r="46" spans="2:9">
      <c r="I46" s="505"/>
    </row>
    <row r="47" spans="2:9">
      <c r="B47" s="1086" t="s">
        <v>1096</v>
      </c>
      <c r="C47" s="430"/>
      <c r="D47" s="431"/>
      <c r="E47" s="431"/>
      <c r="F47" s="431"/>
      <c r="G47" s="431"/>
      <c r="H47" s="431"/>
      <c r="I47" s="505"/>
    </row>
    <row r="48" spans="2:9">
      <c r="I48" s="505"/>
    </row>
    <row r="49" spans="1:9">
      <c r="I49" s="505"/>
    </row>
    <row r="50" spans="1:9">
      <c r="I50" s="505"/>
    </row>
    <row r="51" spans="1:9">
      <c r="A51" s="377"/>
      <c r="B51" s="517"/>
      <c r="C51" s="517"/>
      <c r="D51" s="1085" t="str">
        <f t="shared" ref="D51:H51" si="4">IF(D52&lt;=Reporting_Year,"Actuals","Forecast")</f>
        <v>Actuals</v>
      </c>
      <c r="E51" s="1085" t="str">
        <f t="shared" si="4"/>
        <v>Actuals</v>
      </c>
      <c r="F51" s="1085" t="str">
        <f t="shared" si="4"/>
        <v>Actuals</v>
      </c>
      <c r="G51" s="1085" t="str">
        <f t="shared" si="4"/>
        <v>Forecast</v>
      </c>
      <c r="H51" s="1085" t="str">
        <f t="shared" si="4"/>
        <v>Forecast</v>
      </c>
      <c r="I51" s="505"/>
    </row>
    <row r="52" spans="1:9">
      <c r="A52" s="377"/>
      <c r="B52" s="377"/>
      <c r="C52" s="467"/>
      <c r="D52" s="597">
        <f>'RFPR cover'!$C$6</f>
        <v>2022</v>
      </c>
      <c r="E52" s="597">
        <f t="shared" ref="E52:H52" si="5">D52+1</f>
        <v>2023</v>
      </c>
      <c r="F52" s="597">
        <f t="shared" si="5"/>
        <v>2024</v>
      </c>
      <c r="G52" s="597">
        <f t="shared" si="5"/>
        <v>2025</v>
      </c>
      <c r="H52" s="597">
        <f t="shared" si="5"/>
        <v>2026</v>
      </c>
      <c r="I52" s="505"/>
    </row>
    <row r="53" spans="1:9">
      <c r="D53" s="1093"/>
      <c r="E53" s="1093"/>
      <c r="F53" s="1093"/>
      <c r="G53" s="1093"/>
      <c r="H53" s="1093"/>
      <c r="I53" s="505"/>
    </row>
    <row r="54" spans="1:9">
      <c r="B54" s="519" t="s">
        <v>1097</v>
      </c>
      <c r="C54" s="884" t="str">
        <f>Data!$C$9</f>
        <v>£m 18/19</v>
      </c>
      <c r="D54" s="264">
        <f>(D$62+D$67)/INDEX(real_to_nominal_CF,MATCH('R10 - Pensions &amp; Oth Activities'!D52,calendar_year,0))</f>
        <v>1.0591226894439076</v>
      </c>
      <c r="E54" s="264">
        <f>(E$62+E$67)/INDEX(real_to_nominal_CF,MATCH('R10 - Pensions &amp; Oth Activities'!E52,calendar_year,0))</f>
        <v>1.122339501641088</v>
      </c>
      <c r="F54" s="264">
        <f>(F$62+F$67)/INDEX(real_to_nominal_CF,MATCH('R10 - Pensions &amp; Oth Activities'!F52,calendar_year,0))</f>
        <v>1.8926225686892795</v>
      </c>
      <c r="G54" s="264">
        <f>(G$62+G$67)/INDEX(real_to_nominal_CF,MATCH('R10 - Pensions &amp; Oth Activities'!G52,calendar_year,0))</f>
        <v>0</v>
      </c>
      <c r="H54" s="264">
        <f>(H$62+H$67)/INDEX(real_to_nominal_CF,MATCH('R10 - Pensions &amp; Oth Activities'!H52,calendar_year,0))</f>
        <v>0</v>
      </c>
      <c r="I54" s="505"/>
    </row>
    <row r="55" spans="1:9">
      <c r="D55" s="1093"/>
      <c r="E55" s="1093"/>
      <c r="F55" s="1093"/>
      <c r="G55" s="1093"/>
      <c r="H55" s="1093"/>
    </row>
    <row r="56" spans="1:9">
      <c r="B56" s="467" t="s">
        <v>1098</v>
      </c>
      <c r="D56" s="1093"/>
      <c r="E56" s="1093"/>
      <c r="F56" s="1093"/>
      <c r="G56" s="1093"/>
      <c r="H56" s="1093"/>
    </row>
    <row r="57" spans="1:9">
      <c r="B57" s="1094" t="s">
        <v>1099</v>
      </c>
      <c r="C57" s="29" t="s">
        <v>520</v>
      </c>
      <c r="D57" s="532"/>
      <c r="E57" s="532"/>
      <c r="F57" s="532"/>
      <c r="G57" s="532"/>
      <c r="H57" s="532"/>
    </row>
    <row r="58" spans="1:9">
      <c r="B58" s="1094" t="s">
        <v>1099</v>
      </c>
      <c r="C58" s="29" t="s">
        <v>520</v>
      </c>
      <c r="D58" s="532"/>
      <c r="E58" s="532"/>
      <c r="F58" s="532"/>
      <c r="G58" s="532"/>
      <c r="H58" s="532"/>
    </row>
    <row r="59" spans="1:9">
      <c r="B59" s="1094" t="s">
        <v>932</v>
      </c>
      <c r="C59" s="29" t="s">
        <v>520</v>
      </c>
      <c r="D59" s="532"/>
      <c r="E59" s="532"/>
      <c r="F59" s="532"/>
      <c r="G59" s="532"/>
      <c r="H59" s="532"/>
    </row>
    <row r="60" spans="1:9">
      <c r="B60" s="467" t="s">
        <v>1100</v>
      </c>
      <c r="C60" s="29" t="s">
        <v>520</v>
      </c>
      <c r="D60" s="264">
        <f t="shared" ref="D60:H60" si="6">SUM(D57:D59)</f>
        <v>0</v>
      </c>
      <c r="E60" s="264">
        <f t="shared" si="6"/>
        <v>0</v>
      </c>
      <c r="F60" s="264">
        <f t="shared" si="6"/>
        <v>0</v>
      </c>
      <c r="G60" s="264">
        <f t="shared" si="6"/>
        <v>0</v>
      </c>
      <c r="H60" s="264">
        <f t="shared" si="6"/>
        <v>0</v>
      </c>
    </row>
    <row r="61" spans="1:9">
      <c r="B61" s="377" t="s">
        <v>1101</v>
      </c>
      <c r="C61" s="29" t="s">
        <v>520</v>
      </c>
      <c r="D61" s="532"/>
      <c r="E61" s="532"/>
      <c r="F61" s="532"/>
      <c r="G61" s="532"/>
      <c r="H61" s="532"/>
    </row>
    <row r="62" spans="1:9">
      <c r="B62" s="519" t="s">
        <v>1102</v>
      </c>
      <c r="C62" s="29" t="s">
        <v>520</v>
      </c>
      <c r="D62" s="264">
        <f t="shared" ref="D62:H62" si="7">D60-D61</f>
        <v>0</v>
      </c>
      <c r="E62" s="264">
        <f t="shared" si="7"/>
        <v>0</v>
      </c>
      <c r="F62" s="264">
        <f t="shared" si="7"/>
        <v>0</v>
      </c>
      <c r="G62" s="264">
        <f t="shared" si="7"/>
        <v>0</v>
      </c>
      <c r="H62" s="264">
        <f t="shared" si="7"/>
        <v>0</v>
      </c>
    </row>
    <row r="64" spans="1:9">
      <c r="B64" s="467" t="s">
        <v>1103</v>
      </c>
      <c r="D64" s="1093"/>
      <c r="E64" s="1093"/>
      <c r="F64" s="1093"/>
      <c r="G64" s="1093"/>
      <c r="H64" s="1093"/>
    </row>
    <row r="65" spans="2:8">
      <c r="B65" s="1094" t="s">
        <v>1104</v>
      </c>
      <c r="C65" s="29" t="s">
        <v>520</v>
      </c>
      <c r="D65" s="1339">
        <v>1.14891885</v>
      </c>
      <c r="E65" s="1339">
        <v>1.3243199999999999</v>
      </c>
      <c r="F65" s="1339">
        <v>2.3571010000000001</v>
      </c>
      <c r="G65" s="532"/>
      <c r="H65" s="532"/>
    </row>
    <row r="66" spans="2:8">
      <c r="B66" s="377" t="s">
        <v>1101</v>
      </c>
      <c r="C66" s="29" t="s">
        <v>520</v>
      </c>
      <c r="D66" s="532"/>
      <c r="E66" s="532"/>
      <c r="F66" s="532"/>
      <c r="G66" s="532"/>
      <c r="H66" s="532"/>
    </row>
    <row r="67" spans="2:8">
      <c r="B67" s="519" t="s">
        <v>1105</v>
      </c>
      <c r="C67" s="29" t="s">
        <v>520</v>
      </c>
      <c r="D67" s="264">
        <f t="shared" ref="D67:H67" si="8">D65-D66</f>
        <v>1.14891885</v>
      </c>
      <c r="E67" s="264">
        <f t="shared" si="8"/>
        <v>1.3243199999999999</v>
      </c>
      <c r="F67" s="264">
        <f t="shared" si="8"/>
        <v>2.3571010000000001</v>
      </c>
      <c r="G67" s="264">
        <f t="shared" si="8"/>
        <v>0</v>
      </c>
      <c r="H67" s="264">
        <f t="shared" si="8"/>
        <v>0</v>
      </c>
    </row>
  </sheetData>
  <sheetProtection insertRows="0" sort="0" autoFilter="0" pivotTables="0"/>
  <mergeCells count="1">
    <mergeCell ref="D25:D27"/>
  </mergeCells>
  <conditionalFormatting sqref="D25">
    <cfRule type="expression" dxfId="12" priority="14">
      <formula>AND(E$4="Actuals",F$4="Forecast")</formula>
    </cfRule>
  </conditionalFormatting>
  <conditionalFormatting sqref="D5:G6 I5:I12 I14:I54 D51:G52">
    <cfRule type="expression" dxfId="11" priority="17">
      <formula>AND(D$5="Actuals",E$5="Forecast")</formula>
    </cfRule>
  </conditionalFormatting>
  <conditionalFormatting sqref="D6:G6 D52:G52">
    <cfRule type="expression" dxfId="10" priority="24">
      <formula>AND(D$4="Actuals",E$4="Forecast")</formula>
    </cfRule>
  </conditionalFormatting>
  <conditionalFormatting sqref="D7:H7">
    <cfRule type="expression" dxfId="9" priority="5">
      <formula>AND(D$5="Actuals",E$5="Forecast")</formula>
    </cfRule>
  </conditionalFormatting>
  <conditionalFormatting sqref="E12:H12 E14:H15">
    <cfRule type="expression" dxfId="8" priority="18">
      <formula>E$5="Forecast"</formula>
    </cfRule>
    <cfRule type="expression" dxfId="7" priority="19">
      <formula>E$5="Actuals"</formula>
    </cfRule>
  </conditionalFormatting>
  <conditionalFormatting sqref="H5:H6 H51:H52">
    <cfRule type="expression" dxfId="6" priority="278">
      <formula>AND(H$5="Actuals",#REF!="Forecast")</formula>
    </cfRule>
  </conditionalFormatting>
  <conditionalFormatting sqref="H6 H52">
    <cfRule type="expression" dxfId="5" priority="270">
      <formula>AND(H$4="Actuals",#REF!="Forecast")</formula>
    </cfRule>
  </conditionalFormatting>
  <conditionalFormatting sqref="J17:J22">
    <cfRule type="expression" dxfId="4" priority="290">
      <formula>AND(I$5="Actuals",J$5="Forecast")</formula>
    </cfRule>
  </conditionalFormatting>
  <conditionalFormatting sqref="D12">
    <cfRule type="expression" dxfId="3" priority="3">
      <formula>D$5="Forecast"</formula>
    </cfRule>
    <cfRule type="expression" dxfId="2" priority="4">
      <formula>D$5="Actuals"</formula>
    </cfRule>
  </conditionalFormatting>
  <conditionalFormatting sqref="D14:D15">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zoomScaleNormal="100" workbookViewId="0"/>
  </sheetViews>
  <sheetFormatPr defaultRowHeight="13.5"/>
  <cols>
    <col min="1" max="1" width="1.61328125" customWidth="1"/>
  </cols>
  <sheetData>
    <row r="1" spans="1:5">
      <c r="A1" s="1" t="s">
        <v>1106</v>
      </c>
    </row>
    <row r="4" spans="1:5">
      <c r="B4" s="47" t="s">
        <v>273</v>
      </c>
    </row>
    <row r="5" spans="1:5">
      <c r="B5" s="47" t="s">
        <v>274</v>
      </c>
      <c r="E5" s="47"/>
    </row>
    <row r="6" spans="1:5">
      <c r="B6" s="47" t="s">
        <v>275</v>
      </c>
    </row>
    <row r="7" spans="1:5">
      <c r="B7" s="47" t="s">
        <v>276</v>
      </c>
    </row>
    <row r="8" spans="1:5">
      <c r="B8" s="47" t="s">
        <v>277</v>
      </c>
    </row>
    <row r="9" spans="1:5">
      <c r="B9" s="47" t="s">
        <v>278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zoomScaleNormal="100" workbookViewId="0"/>
  </sheetViews>
  <sheetFormatPr defaultColWidth="0" defaultRowHeight="15" customHeight="1" zeroHeight="1"/>
  <cols>
    <col min="1" max="1" width="19.15234375" style="291" customWidth="1"/>
    <col min="2" max="2" width="11.3828125" style="291" customWidth="1"/>
    <col min="3" max="3" width="10.4609375" style="291" customWidth="1"/>
    <col min="4" max="4" width="9" style="291" customWidth="1"/>
    <col min="5" max="15" width="10" style="291" customWidth="1"/>
    <col min="16" max="23" width="10" style="290" customWidth="1"/>
    <col min="24" max="32" width="10" style="290" hidden="1" customWidth="1"/>
    <col min="33" max="16384" width="9" style="290" hidden="1"/>
  </cols>
  <sheetData>
    <row r="1" spans="1:29" customFormat="1" ht="19.5">
      <c r="A1" s="296" t="str">
        <f ca="1">MID(CELL("filename",A1),FIND("]",CELL("filename",A1))+1,256)</f>
        <v>I1 - Universal Data</v>
      </c>
      <c r="B1" s="297"/>
      <c r="C1" s="297"/>
      <c r="D1" s="297"/>
      <c r="E1" s="297"/>
      <c r="F1" s="297"/>
      <c r="G1" s="297"/>
      <c r="H1" s="297"/>
      <c r="I1" s="297"/>
      <c r="J1" s="297"/>
      <c r="K1" s="297"/>
      <c r="L1" s="297"/>
      <c r="M1" s="297"/>
      <c r="N1" s="297"/>
      <c r="O1" s="297"/>
      <c r="P1" s="297"/>
      <c r="Q1" s="297"/>
      <c r="R1" s="297"/>
      <c r="S1" s="297"/>
      <c r="T1" s="297"/>
      <c r="U1" s="297"/>
      <c r="V1" s="297"/>
      <c r="W1" s="300"/>
      <c r="X1" s="1104"/>
      <c r="Y1" s="1104"/>
      <c r="Z1" s="1104"/>
      <c r="AA1" s="1104"/>
      <c r="AB1" s="1104"/>
    </row>
    <row r="2" spans="1:29" customFormat="1" ht="19.5">
      <c r="A2" s="296" t="str">
        <f>Licensee</f>
        <v>SGN - Southern</v>
      </c>
      <c r="B2" s="297"/>
      <c r="C2" s="297"/>
      <c r="D2" s="297"/>
      <c r="E2" s="297"/>
      <c r="F2" s="297"/>
      <c r="G2" s="297"/>
      <c r="H2" s="297"/>
      <c r="I2" s="297"/>
      <c r="J2" s="297"/>
      <c r="K2" s="297"/>
      <c r="L2" s="297"/>
      <c r="M2" s="297"/>
      <c r="N2" s="297"/>
      <c r="O2" s="297"/>
      <c r="P2" s="297"/>
      <c r="Q2" s="297"/>
      <c r="R2" s="297"/>
      <c r="S2" s="297"/>
      <c r="T2" s="297"/>
      <c r="U2" s="297"/>
      <c r="V2" s="297"/>
      <c r="W2" s="300"/>
      <c r="X2" s="1104"/>
      <c r="Y2" s="1104"/>
      <c r="Z2" s="1104"/>
      <c r="AA2" s="1104"/>
      <c r="AB2" s="1104"/>
    </row>
    <row r="3" spans="1:29" customFormat="1" ht="19.5">
      <c r="A3" s="298" t="str">
        <f>Sector</f>
        <v>GD2</v>
      </c>
      <c r="B3" s="299"/>
      <c r="C3" s="299"/>
      <c r="D3" s="299"/>
      <c r="E3" s="299"/>
      <c r="F3" s="299"/>
      <c r="G3" s="299"/>
      <c r="H3" s="299"/>
      <c r="I3" s="299"/>
      <c r="J3" s="299"/>
      <c r="K3" s="299"/>
      <c r="L3" s="299"/>
      <c r="M3" s="299"/>
      <c r="N3" s="299"/>
      <c r="O3" s="299"/>
      <c r="P3" s="299"/>
      <c r="Q3" s="299"/>
      <c r="R3" s="299"/>
      <c r="S3" s="299"/>
      <c r="T3" s="299"/>
      <c r="U3" s="299"/>
      <c r="V3" s="299"/>
      <c r="W3" s="301"/>
      <c r="X3" s="1104"/>
      <c r="Y3" s="1104"/>
      <c r="Z3" s="1104"/>
      <c r="AA3" s="1104"/>
      <c r="AB3" s="1104"/>
    </row>
    <row r="4" spans="1:29" ht="14.5">
      <c r="A4" s="1105"/>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7"/>
    </row>
    <row r="5" spans="1:29" ht="14.5">
      <c r="A5" s="1108" t="s">
        <v>1107</v>
      </c>
      <c r="B5" s="1109" t="s">
        <v>1108</v>
      </c>
      <c r="C5" s="1109" t="s">
        <v>1109</v>
      </c>
      <c r="D5" s="1110">
        <v>2015</v>
      </c>
      <c r="E5" s="1110">
        <v>2016</v>
      </c>
      <c r="F5" s="1110">
        <v>2017</v>
      </c>
      <c r="G5" s="1110">
        <v>2018</v>
      </c>
      <c r="H5" s="1110">
        <v>2019</v>
      </c>
      <c r="I5" s="1110">
        <v>2020</v>
      </c>
      <c r="J5" s="1110">
        <v>2021</v>
      </c>
      <c r="K5" s="1110">
        <v>2022</v>
      </c>
      <c r="L5" s="1110">
        <v>2023</v>
      </c>
      <c r="M5" s="1110">
        <f>L5+1</f>
        <v>2024</v>
      </c>
      <c r="N5" s="1110">
        <f>M5+1</f>
        <v>2025</v>
      </c>
      <c r="O5" s="1110">
        <f>N5+1</f>
        <v>2026</v>
      </c>
      <c r="P5" s="1110">
        <f>O5+1</f>
        <v>2027</v>
      </c>
      <c r="Q5" s="1110">
        <f>P5+1</f>
        <v>2028</v>
      </c>
      <c r="R5" s="1110">
        <f t="shared" ref="R5:V5" si="0">Q5+1</f>
        <v>2029</v>
      </c>
      <c r="S5" s="1110">
        <f t="shared" si="0"/>
        <v>2030</v>
      </c>
      <c r="T5" s="1110">
        <f t="shared" si="0"/>
        <v>2031</v>
      </c>
      <c r="U5" s="1110">
        <f t="shared" si="0"/>
        <v>2032</v>
      </c>
      <c r="V5" s="1110">
        <f t="shared" si="0"/>
        <v>2033</v>
      </c>
      <c r="W5" s="1107"/>
    </row>
    <row r="6" spans="1:29" ht="14.5">
      <c r="A6" s="1111"/>
      <c r="B6" s="1106"/>
      <c r="C6" s="1106"/>
      <c r="D6" s="1107"/>
      <c r="E6" s="1107"/>
      <c r="F6" s="1107"/>
      <c r="G6" s="1107"/>
      <c r="H6" s="1107"/>
      <c r="I6" s="1107"/>
      <c r="J6" s="1107"/>
      <c r="K6" s="1107"/>
      <c r="L6" s="1107"/>
      <c r="M6" s="1107"/>
      <c r="N6" s="1107"/>
      <c r="O6" s="1107"/>
      <c r="P6" s="1107"/>
      <c r="Q6" s="1107"/>
      <c r="R6" s="1107"/>
      <c r="S6" s="1107"/>
      <c r="T6" s="1107"/>
      <c r="U6" s="1107"/>
      <c r="V6" s="1107"/>
      <c r="W6" s="1107"/>
      <c r="X6" s="1107"/>
      <c r="Y6" s="1107"/>
    </row>
    <row r="7" spans="1:29" s="291" customFormat="1" ht="13.5">
      <c r="A7" s="93" t="s">
        <v>1110</v>
      </c>
      <c r="B7" s="93"/>
      <c r="C7" s="1112"/>
      <c r="D7" s="1113"/>
      <c r="E7" s="1113"/>
      <c r="F7" s="1113"/>
      <c r="G7" s="1113"/>
      <c r="H7" s="1113"/>
      <c r="I7" s="1114"/>
      <c r="J7" s="1114"/>
      <c r="K7" s="1114"/>
      <c r="L7" s="1114"/>
      <c r="M7" s="1114"/>
      <c r="N7" s="1114"/>
      <c r="O7" s="1114"/>
      <c r="P7" s="1114"/>
      <c r="Q7" s="1114"/>
      <c r="R7" s="1114"/>
      <c r="S7" s="1114"/>
      <c r="T7" s="1114"/>
      <c r="U7" s="1114"/>
      <c r="V7" s="1114"/>
    </row>
    <row r="8" spans="1:29" ht="14.5">
      <c r="E8" s="1115"/>
      <c r="F8" s="1115"/>
      <c r="G8" s="1115"/>
      <c r="H8" s="1115"/>
      <c r="I8" s="1115"/>
      <c r="J8" s="1115"/>
      <c r="K8" s="1115"/>
      <c r="L8" s="1115"/>
      <c r="M8" s="1115"/>
      <c r="N8" s="1115"/>
      <c r="O8" s="1115"/>
      <c r="P8" s="1116"/>
      <c r="Q8" s="1116"/>
      <c r="R8" s="1116"/>
      <c r="S8" s="1116"/>
      <c r="T8" s="1116"/>
      <c r="U8" s="1116"/>
      <c r="V8" s="1116"/>
    </row>
    <row r="9" spans="1:29" ht="14.5">
      <c r="A9" s="1117" t="s">
        <v>1111</v>
      </c>
      <c r="B9" s="291" t="s">
        <v>1112</v>
      </c>
      <c r="C9" s="1118">
        <f>IF(Price_basis = "£M 18/19", 2019, IF(Price_basis = "£M 20/21", 2021, "NA"))</f>
        <v>2019</v>
      </c>
      <c r="D9" s="290"/>
      <c r="E9" s="1115"/>
      <c r="F9" s="1115"/>
      <c r="G9" s="1115"/>
      <c r="H9" s="1115"/>
      <c r="I9" s="1115"/>
      <c r="J9" s="1115"/>
      <c r="K9" s="1115"/>
      <c r="L9" s="1115"/>
      <c r="M9" s="1115"/>
      <c r="N9" s="1115"/>
      <c r="O9" s="1115"/>
      <c r="P9" s="1116"/>
      <c r="Q9" s="1116"/>
      <c r="R9" s="1116"/>
      <c r="S9" s="1116"/>
      <c r="T9" s="1116"/>
      <c r="U9" s="1116"/>
      <c r="V9" s="1116"/>
    </row>
    <row r="10" spans="1:29" s="291" customFormat="1" ht="14.5">
      <c r="E10" s="1115"/>
      <c r="F10" s="1115"/>
      <c r="G10" s="1115"/>
      <c r="H10" s="1115"/>
      <c r="I10" s="1115"/>
      <c r="J10" s="1115"/>
      <c r="K10" s="1115"/>
      <c r="L10" s="1115"/>
      <c r="M10" s="1115"/>
      <c r="N10" s="1115"/>
      <c r="O10" s="1115"/>
      <c r="P10" s="1116"/>
      <c r="Q10" s="1115"/>
      <c r="R10" s="1115"/>
      <c r="S10" s="1115"/>
      <c r="T10" s="1115"/>
      <c r="U10" s="1115"/>
      <c r="V10" s="1115"/>
    </row>
    <row r="11" spans="1:29" s="291" customFormat="1" ht="14.5">
      <c r="A11" s="1119" t="s">
        <v>1113</v>
      </c>
      <c r="B11" s="1120"/>
      <c r="D11" s="1121"/>
      <c r="E11" s="1122"/>
      <c r="F11" s="1122"/>
      <c r="G11" s="1122"/>
      <c r="H11" s="1115"/>
      <c r="I11" s="1115"/>
      <c r="J11" s="1115"/>
      <c r="K11" s="1115"/>
      <c r="L11" s="1115"/>
      <c r="M11" s="1115"/>
      <c r="N11" s="1115"/>
      <c r="O11" s="1115"/>
      <c r="P11" s="1116"/>
      <c r="Q11" s="1122"/>
      <c r="R11" s="1122"/>
      <c r="S11" s="1122"/>
      <c r="T11" s="1122"/>
      <c r="U11" s="1122"/>
      <c r="V11" s="1122"/>
    </row>
    <row r="12" spans="1:29" s="291" customFormat="1" ht="13.5">
      <c r="A12" s="1320" t="s">
        <v>1114</v>
      </c>
      <c r="B12" s="1321"/>
      <c r="D12" s="1123"/>
      <c r="E12" s="1122"/>
      <c r="F12" s="1122"/>
      <c r="G12" s="1122"/>
      <c r="H12" s="1122"/>
      <c r="I12" s="1122"/>
      <c r="J12" s="1122"/>
      <c r="K12" s="1122"/>
      <c r="L12" s="1122"/>
      <c r="M12" s="1122"/>
      <c r="N12" s="1122"/>
      <c r="O12" s="1122"/>
      <c r="P12" s="1122"/>
      <c r="Q12" s="1122"/>
      <c r="R12" s="1122"/>
      <c r="S12" s="1122"/>
      <c r="T12" s="1122"/>
      <c r="U12" s="1122"/>
      <c r="V12" s="1122"/>
    </row>
    <row r="13" spans="1:29" s="291" customFormat="1" ht="14.5">
      <c r="E13" s="1122"/>
      <c r="F13" s="1122"/>
      <c r="G13" s="1122"/>
      <c r="H13" s="1122"/>
      <c r="I13" s="1122"/>
      <c r="J13" s="1122"/>
      <c r="K13" s="1122"/>
      <c r="L13" s="1122"/>
      <c r="M13" s="1122"/>
      <c r="N13" s="1122"/>
      <c r="O13" s="1122"/>
      <c r="P13" s="1122"/>
      <c r="Q13" s="1122"/>
      <c r="R13" s="1122"/>
      <c r="S13" s="1122"/>
      <c r="T13" s="1122"/>
      <c r="U13" s="1122"/>
      <c r="V13" s="1122"/>
      <c r="W13" s="290"/>
      <c r="X13" s="290"/>
      <c r="Y13" s="290"/>
      <c r="Z13" s="290"/>
      <c r="AA13" s="290"/>
      <c r="AB13" s="290"/>
      <c r="AC13" s="290"/>
    </row>
    <row r="14" spans="1:29" s="291" customFormat="1" ht="14.5">
      <c r="A14" s="1117" t="s">
        <v>1115</v>
      </c>
      <c r="B14" s="291" t="s">
        <v>1116</v>
      </c>
      <c r="D14" s="1124">
        <v>2015</v>
      </c>
      <c r="E14" s="1124">
        <v>2016</v>
      </c>
      <c r="F14" s="1124">
        <v>2017</v>
      </c>
      <c r="G14" s="1124">
        <v>2018</v>
      </c>
      <c r="H14" s="1124">
        <v>2019</v>
      </c>
      <c r="I14" s="1124">
        <v>2020</v>
      </c>
      <c r="J14" s="1124">
        <v>2021</v>
      </c>
      <c r="K14" s="1124">
        <v>2022</v>
      </c>
      <c r="L14" s="1124">
        <v>2023</v>
      </c>
      <c r="M14" s="1124">
        <v>2024</v>
      </c>
      <c r="N14" s="1124">
        <v>2025</v>
      </c>
      <c r="O14" s="1124">
        <v>2026</v>
      </c>
      <c r="P14" s="1124">
        <v>2027</v>
      </c>
      <c r="Q14" s="1124">
        <v>2028</v>
      </c>
      <c r="R14" s="1124">
        <v>2029</v>
      </c>
      <c r="S14" s="1124">
        <v>2030</v>
      </c>
      <c r="T14" s="1124">
        <v>2031</v>
      </c>
      <c r="U14" s="1124">
        <v>2032</v>
      </c>
      <c r="V14" s="1124">
        <v>2033</v>
      </c>
      <c r="W14" s="290"/>
      <c r="X14" s="290"/>
      <c r="Y14" s="290"/>
      <c r="Z14" s="290"/>
      <c r="AA14" s="290"/>
      <c r="AB14" s="290"/>
      <c r="AC14" s="290"/>
    </row>
    <row r="15" spans="1:29" s="291" customFormat="1" ht="14.5">
      <c r="A15" s="1117" t="s">
        <v>1117</v>
      </c>
      <c r="B15" s="291" t="s">
        <v>484</v>
      </c>
      <c r="D15" s="1125"/>
      <c r="E15" s="1126"/>
      <c r="F15" s="1126"/>
      <c r="G15" s="1127"/>
      <c r="H15" s="1324">
        <v>2.5628884588821732E-2</v>
      </c>
      <c r="I15" s="1324">
        <v>1.5033471260387898E-2</v>
      </c>
      <c r="J15" s="1324">
        <v>4.0452569031158125E-2</v>
      </c>
      <c r="K15" s="1324">
        <v>0.11584699426229506</v>
      </c>
      <c r="L15" s="1318">
        <v>9.6914789201007601E-2</v>
      </c>
      <c r="M15" s="1318">
        <v>3.1356893625321E-2</v>
      </c>
      <c r="N15" s="1318">
        <v>2.0457266265074402E-2</v>
      </c>
      <c r="O15" s="1318">
        <v>2.4969908330546801E-2</v>
      </c>
      <c r="P15" s="1319">
        <v>0.03</v>
      </c>
      <c r="Q15" s="1319">
        <v>0.03</v>
      </c>
      <c r="R15" s="1319">
        <v>0.03</v>
      </c>
      <c r="S15" s="1319">
        <v>0.03</v>
      </c>
      <c r="T15" s="1319">
        <v>0.03</v>
      </c>
      <c r="U15" s="1324">
        <v>0.03</v>
      </c>
      <c r="V15" s="1324">
        <v>0.03</v>
      </c>
      <c r="W15" s="290"/>
      <c r="X15" s="290"/>
      <c r="Y15" s="290"/>
      <c r="Z15" s="290"/>
      <c r="AA15" s="290"/>
      <c r="AB15" s="290"/>
      <c r="AC15" s="290"/>
    </row>
    <row r="16" spans="1:29" s="291" customFormat="1" ht="14.5">
      <c r="A16" s="1117" t="s">
        <v>1118</v>
      </c>
      <c r="B16" s="291" t="s">
        <v>484</v>
      </c>
      <c r="D16" s="1128"/>
      <c r="E16" s="1129"/>
      <c r="F16" s="1129"/>
      <c r="G16" s="1130"/>
      <c r="H16" s="1324">
        <v>1.7910205867057716E-2</v>
      </c>
      <c r="I16" s="1324">
        <v>8.5065402820156955E-3</v>
      </c>
      <c r="J16" s="1324">
        <v>2.5882219500718229E-2</v>
      </c>
      <c r="K16" s="1324">
        <v>9.0667455547039033E-2</v>
      </c>
      <c r="L16" s="1318">
        <v>7.3032807433557098E-2</v>
      </c>
      <c r="M16" s="1318">
        <v>2.1902133306788099E-2</v>
      </c>
      <c r="N16" s="1318">
        <v>1.47540195471507E-2</v>
      </c>
      <c r="O16" s="1318">
        <v>1.62662132526732E-2</v>
      </c>
      <c r="P16" s="1319">
        <v>0.02</v>
      </c>
      <c r="Q16" s="1319">
        <v>0.02</v>
      </c>
      <c r="R16" s="1319">
        <v>0.02</v>
      </c>
      <c r="S16" s="1319">
        <v>0.02</v>
      </c>
      <c r="T16" s="1319">
        <v>0.02</v>
      </c>
      <c r="U16" s="1324">
        <v>0.02</v>
      </c>
      <c r="V16" s="1324">
        <v>0.02</v>
      </c>
      <c r="W16" s="290"/>
      <c r="X16" s="290"/>
      <c r="Y16" s="290"/>
      <c r="Z16" s="290"/>
      <c r="AA16" s="290"/>
      <c r="AB16" s="290"/>
      <c r="AC16" s="290"/>
    </row>
    <row r="17" spans="1:29" s="291" customFormat="1" ht="14.5">
      <c r="H17" s="1295"/>
      <c r="I17" s="1304"/>
      <c r="J17" s="1304"/>
      <c r="K17" s="1304"/>
      <c r="L17" s="1304"/>
      <c r="M17" s="1304"/>
      <c r="N17" s="1304"/>
      <c r="O17" s="1304"/>
      <c r="P17" s="1295"/>
      <c r="Q17" s="1295"/>
      <c r="R17" s="1309"/>
      <c r="S17" s="1309"/>
      <c r="T17" s="1309"/>
      <c r="U17" s="1309"/>
      <c r="V17" s="1309"/>
      <c r="W17" s="290"/>
      <c r="X17" s="290"/>
      <c r="Y17" s="290"/>
      <c r="Z17" s="290"/>
      <c r="AA17" s="290"/>
      <c r="AB17" s="290"/>
      <c r="AC17" s="290"/>
    </row>
    <row r="18" spans="1:29" s="291" customFormat="1" ht="14.5">
      <c r="A18" s="1119" t="s">
        <v>1119</v>
      </c>
      <c r="E18" s="1131"/>
      <c r="F18" s="1132"/>
      <c r="G18" s="1132"/>
      <c r="H18" s="1132"/>
      <c r="I18" s="1132"/>
      <c r="J18" s="1132"/>
      <c r="K18" s="1132"/>
      <c r="L18" s="1132"/>
      <c r="M18" s="1132"/>
      <c r="N18" s="1132"/>
      <c r="O18" s="1132"/>
      <c r="P18" s="1132"/>
      <c r="Q18" s="1132"/>
      <c r="R18" s="1132"/>
      <c r="S18" s="1132"/>
      <c r="T18" s="1132"/>
      <c r="U18" s="1132"/>
      <c r="V18" s="1132"/>
      <c r="W18" s="290"/>
      <c r="X18" s="290"/>
      <c r="Y18" s="290"/>
      <c r="Z18" s="290"/>
      <c r="AA18" s="290"/>
      <c r="AB18" s="290"/>
      <c r="AC18" s="290"/>
    </row>
    <row r="19" spans="1:29" s="291" customFormat="1" ht="14.5">
      <c r="A19" s="1117" t="s">
        <v>1120</v>
      </c>
      <c r="B19" s="291" t="s">
        <v>1121</v>
      </c>
      <c r="D19" s="1133">
        <f ca="1">AVERAGEIFS('I2 - Monthly Inflation'!$H:$H,'I2 - Monthly Inflation'!$A:$A,"&gt;"&amp;DATE(D$14 - 1, 3, 31),'I2 - Monthly Inflation'!$A:$A,"&lt;"&amp;DATE(D$14, 4, 1))</f>
        <v>256.66666666666669</v>
      </c>
      <c r="E19" s="1133">
        <f ca="1">AVERAGEIFS('I2 - Monthly Inflation'!$H:$H,'I2 - Monthly Inflation'!$A:$A,"&gt;"&amp;DATE(E$14 - 1, 3, 31),'I2 - Monthly Inflation'!$A:$A,"&lt;"&amp;DATE(E$14, 4, 1))</f>
        <v>259.43333333333334</v>
      </c>
      <c r="F19" s="1133">
        <f ca="1">AVERAGEIFS('I2 - Monthly Inflation'!$H:$H,'I2 - Monthly Inflation'!$A:$A,"&gt;"&amp;DATE(F$14 - 1, 3, 31),'I2 - Monthly Inflation'!$A:$A,"&lt;"&amp;DATE(F$14, 4, 1))</f>
        <v>264.99166666666673</v>
      </c>
      <c r="G19" s="1133">
        <f ca="1">AVERAGEIFS('I2 - Monthly Inflation'!$H:$H,'I2 - Monthly Inflation'!$A:$A,"&gt;"&amp;DATE(G$14 - 1, 3, 31),'I2 - Monthly Inflation'!$A:$A,"&lt;"&amp;DATE(G$14, 4, 1))</f>
        <v>274.90833333333336</v>
      </c>
      <c r="H19" s="1133">
        <f ca="1">AVERAGEIFS('I2 - Monthly Inflation'!$H:$H,'I2 - Monthly Inflation'!$A:$A,"&gt;"&amp;DATE(H$14 - 1, 3, 31),'I2 - Monthly Inflation'!$A:$A,"&lt;"&amp;DATE(H$14, 4, 1))</f>
        <v>283.30833333333334</v>
      </c>
      <c r="I19" s="1133">
        <f ca="1">AVERAGEIFS('I2 - Monthly Inflation'!$H:$H,'I2 - Monthly Inflation'!$A:$A,"&gt;"&amp;DATE(I$14 - 1, 3, 31),'I2 - Monthly Inflation'!$A:$A,"&lt;"&amp;DATE(I$14, 4, 1))</f>
        <v>290.64166666666665</v>
      </c>
      <c r="J19" s="1133">
        <f ca="1">AVERAGEIFS('I2 - Monthly Inflation'!$H:$H,'I2 - Monthly Inflation'!$A:$A,"&gt;"&amp;DATE(J$14 - 1, 3, 31),'I2 - Monthly Inflation'!$A:$A,"&lt;"&amp;DATE(J$14, 4, 1))</f>
        <v>294.16666666666669</v>
      </c>
      <c r="K19" s="1133">
        <f ca="1">AVERAGEIFS('I2 - Monthly Inflation'!$H:$H,'I2 - Monthly Inflation'!$A:$A,"&gt;"&amp;DATE(K$14 - 1, 3, 31),'I2 - Monthly Inflation'!$A:$A,"&lt;"&amp;DATE(K$14, 4, 1))</f>
        <v>311.1583333333333</v>
      </c>
      <c r="L19" s="1133">
        <f ca="1">AVERAGEIFS('I2 - Monthly Inflation'!$H:$H,'I2 - Monthly Inflation'!$A:$A,"&gt;"&amp;DATE(L$14 - 1, 3, 31),'I2 - Monthly Inflation'!$A:$A,"&lt;"&amp;DATE(L$14, 4, 1))</f>
        <v>351.2166666666667</v>
      </c>
      <c r="M19" s="1133">
        <f ca="1">AVERAGEIFS('I2 - Monthly Inflation'!$H:$H,'I2 - Monthly Inflation'!$A:$A,"&gt;"&amp;DATE(M$14 - 1, 3, 31),'I2 - Monthly Inflation'!$A:$A,"&lt;"&amp;DATE(M$14, 4, 1))</f>
        <v>377.48333333333341</v>
      </c>
      <c r="N19" s="1133">
        <f ca="1">AVERAGEIFS('I2 - Monthly Inflation'!$H:$H,'I2 - Monthly Inflation'!$A:$A,"&gt;"&amp;DATE(N$14 - 1, 3, 31),'I2 - Monthly Inflation'!$A:$A,"&lt;"&amp;DATE(N$14, 4, 1))</f>
        <v>389.49746674427757</v>
      </c>
      <c r="O19" s="1133">
        <f ca="1">AVERAGEIFS('I2 - Monthly Inflation'!$H:$H,'I2 - Monthly Inflation'!$A:$A,"&gt;"&amp;DATE(O$14 - 1, 3, 31),'I2 - Monthly Inflation'!$A:$A,"&lt;"&amp;DATE(O$14, 4, 1))</f>
        <v>398.12260380270328</v>
      </c>
      <c r="P19" s="1133">
        <f ca="1">AVERAGEIFS('I2 - Monthly Inflation'!$H:$H,'I2 - Monthly Inflation'!$A:$A,"&gt;"&amp;DATE(P$14 - 1, 3, 31),'I2 - Monthly Inflation'!$A:$A,"&lt;"&amp;DATE(P$14, 4, 1))</f>
        <v>408.65523885908857</v>
      </c>
      <c r="Q19" s="1133">
        <f ca="1">AVERAGEIFS('I2 - Monthly Inflation'!$H:$H,'I2 - Monthly Inflation'!$A:$A,"&gt;"&amp;DATE(Q$14 - 1, 3, 31),'I2 - Monthly Inflation'!$A:$A,"&lt;"&amp;DATE(Q$14, 4, 1))</f>
        <v>420.87250092406106</v>
      </c>
      <c r="R19" s="1133">
        <f ca="1">AVERAGEIFS('I2 - Monthly Inflation'!$H:$H,'I2 - Monthly Inflation'!$A:$A,"&gt;"&amp;DATE(R$14 - 1, 3, 31),'I2 - Monthly Inflation'!$A:$A,"&lt;"&amp;DATE(R$14, 4, 1))</f>
        <v>433.4986759517833</v>
      </c>
      <c r="S19" s="1133">
        <f ca="1">AVERAGEIFS('I2 - Monthly Inflation'!$H:$H,'I2 - Monthly Inflation'!$A:$A,"&gt;"&amp;DATE(S$14 - 1, 3, 31),'I2 - Monthly Inflation'!$A:$A,"&lt;"&amp;DATE(S$14, 4, 1))</f>
        <v>446.50363623033724</v>
      </c>
      <c r="T19" s="1133">
        <f ca="1">AVERAGEIFS('I2 - Monthly Inflation'!$H:$H,'I2 - Monthly Inflation'!$A:$A,"&gt;"&amp;DATE(T$14 - 1, 3, 31),'I2 - Monthly Inflation'!$A:$A,"&lt;"&amp;DATE(T$14, 4, 1))</f>
        <v>459.89874531724786</v>
      </c>
      <c r="U19" s="1133">
        <f ca="1">AVERAGEIFS('I2 - Monthly Inflation'!$H:$H,'I2 - Monthly Inflation'!$A:$A,"&gt;"&amp;DATE(U$14 - 1, 3, 31),'I2 - Monthly Inflation'!$A:$A,"&lt;"&amp;DATE(U$14, 4, 1))</f>
        <v>473.69570767676584</v>
      </c>
      <c r="V19" s="1133">
        <f ca="1">AVERAGEIFS('I2 - Monthly Inflation'!$H:$H,'I2 - Monthly Inflation'!$A:$A,"&gt;"&amp;DATE(V$14 - 1, 3, 31),'I2 - Monthly Inflation'!$A:$A,"&lt;"&amp;DATE(V$14, 4, 1))</f>
        <v>487.90657890706944</v>
      </c>
      <c r="W19" s="290"/>
      <c r="X19" s="290"/>
      <c r="Y19" s="290"/>
      <c r="Z19" s="290"/>
      <c r="AA19" s="290"/>
      <c r="AB19" s="290"/>
      <c r="AC19" s="290"/>
    </row>
    <row r="20" spans="1:29" s="291" customFormat="1" ht="14.5">
      <c r="A20" s="1134" t="s">
        <v>1122</v>
      </c>
      <c r="B20" s="291" t="s">
        <v>484</v>
      </c>
      <c r="D20" s="1128"/>
      <c r="E20" s="1135">
        <f t="shared" ref="E20:V20" ca="1" si="1">E19/D19-1</f>
        <v>1.0779220779220777E-2</v>
      </c>
      <c r="F20" s="1135">
        <f t="shared" ca="1" si="1"/>
        <v>2.1424900424001248E-2</v>
      </c>
      <c r="G20" s="1135">
        <f t="shared" ca="1" si="1"/>
        <v>3.7422560457875953E-2</v>
      </c>
      <c r="H20" s="1135">
        <f t="shared" ca="1" si="1"/>
        <v>3.0555639758707454E-2</v>
      </c>
      <c r="I20" s="1135">
        <f t="shared" ca="1" si="1"/>
        <v>2.5884636879724532E-2</v>
      </c>
      <c r="J20" s="1135">
        <f t="shared" ca="1" si="1"/>
        <v>1.2128336726209277E-2</v>
      </c>
      <c r="K20" s="1135">
        <f t="shared" ca="1" si="1"/>
        <v>5.7762039660056441E-2</v>
      </c>
      <c r="L20" s="1135">
        <f t="shared" ca="1" si="1"/>
        <v>0.12873938777149907</v>
      </c>
      <c r="M20" s="1135">
        <f t="shared" ca="1" si="1"/>
        <v>7.4787642955440825E-2</v>
      </c>
      <c r="N20" s="1135">
        <f t="shared" ca="1" si="1"/>
        <v>3.1826924131601819E-2</v>
      </c>
      <c r="O20" s="1135">
        <f t="shared" ca="1" si="1"/>
        <v>2.2144269975672204E-2</v>
      </c>
      <c r="P20" s="1135">
        <f t="shared" ca="1" si="1"/>
        <v>2.6455757487221065E-2</v>
      </c>
      <c r="Q20" s="1135">
        <f t="shared" ca="1" si="1"/>
        <v>2.9896257048071861E-2</v>
      </c>
      <c r="R20" s="1135">
        <f t="shared" ca="1" si="1"/>
        <v>3.0000000000000915E-2</v>
      </c>
      <c r="S20" s="1135">
        <f t="shared" ca="1" si="1"/>
        <v>3.0000000000000915E-2</v>
      </c>
      <c r="T20" s="1135">
        <f t="shared" ca="1" si="1"/>
        <v>3.0000000000001137E-2</v>
      </c>
      <c r="U20" s="1135">
        <f t="shared" ca="1" si="1"/>
        <v>3.0000000000001137E-2</v>
      </c>
      <c r="V20" s="1135">
        <f t="shared" ca="1" si="1"/>
        <v>3.0000000000001359E-2</v>
      </c>
      <c r="W20" s="290"/>
      <c r="X20" s="290"/>
      <c r="Y20" s="290"/>
      <c r="Z20" s="290"/>
      <c r="AA20" s="290"/>
      <c r="AB20" s="290"/>
      <c r="AC20" s="290"/>
    </row>
    <row r="21" spans="1:29" s="291" customFormat="1" ht="14.5">
      <c r="A21" s="1117"/>
      <c r="D21" s="1132"/>
      <c r="E21" s="1132"/>
      <c r="F21" s="1132"/>
      <c r="G21" s="1132"/>
      <c r="H21" s="1132"/>
      <c r="I21" s="1132"/>
      <c r="J21" s="1132"/>
      <c r="K21" s="1132"/>
      <c r="L21" s="1132"/>
      <c r="M21" s="1132"/>
      <c r="N21" s="1132"/>
      <c r="O21" s="1132"/>
      <c r="P21" s="1132"/>
      <c r="Q21" s="1132"/>
      <c r="R21" s="1132"/>
      <c r="S21" s="1132"/>
      <c r="T21" s="1132"/>
      <c r="U21" s="1132"/>
      <c r="V21" s="1132"/>
      <c r="W21" s="290"/>
      <c r="X21" s="290"/>
      <c r="Y21" s="290"/>
      <c r="Z21" s="290"/>
      <c r="AA21" s="290"/>
      <c r="AB21" s="290"/>
      <c r="AC21" s="290"/>
    </row>
    <row r="22" spans="1:29" s="291" customFormat="1" ht="14.5">
      <c r="A22" s="1117" t="s">
        <v>1123</v>
      </c>
      <c r="B22" s="291" t="s">
        <v>1121</v>
      </c>
      <c r="D22" s="1133">
        <f ca="1">AVERAGEIFS('I2 - Monthly Inflation'!$G:$G,'I2 - Monthly Inflation'!$A:$A,"&gt;"&amp;DATE(D$14 - 1, 3, 31),'I2 - Monthly Inflation'!$A:$A,"&lt;"&amp;DATE(D$14, 4, 1))</f>
        <v>99.72499999999998</v>
      </c>
      <c r="E22" s="1133">
        <f ca="1">AVERAGEIFS('I2 - Monthly Inflation'!$G:$G,'I2 - Monthly Inflation'!$A:$A,"&gt;"&amp;DATE(E$14 - 1, 3, 31),'I2 - Monthly Inflation'!$A:$A,"&lt;"&amp;DATE(E$14, 4, 1))</f>
        <v>100.16666666666667</v>
      </c>
      <c r="F22" s="1133">
        <f ca="1">AVERAGEIFS('I2 - Monthly Inflation'!$G:$G,'I2 - Monthly Inflation'!$A:$A,"&gt;"&amp;DATE(F$14 - 1, 3, 31),'I2 - Monthly Inflation'!$A:$A,"&lt;"&amp;DATE(F$14, 4, 1))</f>
        <v>101.54166666666667</v>
      </c>
      <c r="G22" s="1133">
        <f ca="1">AVERAGEIFS('I2 - Monthly Inflation'!$G:$G,'I2 - Monthly Inflation'!$A:$A,"&gt;"&amp;DATE(G$14 - 1, 3, 31),'I2 - Monthly Inflation'!$A:$A,"&lt;"&amp;DATE(G$14, 4, 1))</f>
        <v>104.21666666666665</v>
      </c>
      <c r="H22" s="1133">
        <f ca="1">AVERAGEIFS('I2 - Monthly Inflation'!$G:$G,'I2 - Monthly Inflation'!$A:$A,"&gt;"&amp;DATE(H$14 - 1, 3, 31),'I2 - Monthly Inflation'!$A:$A,"&lt;"&amp;DATE(H$14, 4, 1))</f>
        <v>106.43333333333334</v>
      </c>
      <c r="I22" s="1133">
        <f ca="1">AVERAGEIFS('I2 - Monthly Inflation'!$G:$G,'I2 - Monthly Inflation'!$A:$A,"&gt;"&amp;DATE(I$14 - 1, 3, 31),'I2 - Monthly Inflation'!$A:$A,"&lt;"&amp;DATE(I$14, 4, 1))</f>
        <v>108.24166666666663</v>
      </c>
      <c r="J22" s="1133">
        <f ca="1">AVERAGEIFS('I2 - Monthly Inflation'!$G:$G,'I2 - Monthly Inflation'!$A:$A,"&gt;"&amp;DATE(J$14 - 1, 3, 31),'I2 - Monthly Inflation'!$A:$A,"&lt;"&amp;DATE(J$14, 4, 1))</f>
        <v>109.10833333333335</v>
      </c>
      <c r="K22" s="1133">
        <f ca="1">AVERAGEIFS('I2 - Monthly Inflation'!$G:$G,'I2 - Monthly Inflation'!$A:$A,"&gt;"&amp;DATE(K$14 - 1, 3, 31),'I2 - Monthly Inflation'!$A:$A,"&lt;"&amp;DATE(K$14, 4, 1))</f>
        <v>113.11666666666667</v>
      </c>
      <c r="L22" s="1133">
        <f ca="1">AVERAGEIFS('I2 - Monthly Inflation'!$G:$G,'I2 - Monthly Inflation'!$A:$A,"&gt;"&amp;DATE(L$14 - 1, 3, 31),'I2 - Monthly Inflation'!$A:$A,"&lt;"&amp;DATE(L$14, 4, 1))</f>
        <v>123.04166666666664</v>
      </c>
      <c r="M22" s="1133">
        <f ca="1">AVERAGEIFS('I2 - Monthly Inflation'!$G:$G,'I2 - Monthly Inflation'!$A:$A,"&gt;"&amp;DATE(M$14 - 1, 3, 31),'I2 - Monthly Inflation'!$A:$A,"&lt;"&amp;DATE(M$14, 4, 1))</f>
        <v>129.86666666666665</v>
      </c>
      <c r="N22" s="1133">
        <f ca="1">AVERAGEIFS('I2 - Monthly Inflation'!$G:$G,'I2 - Monthly Inflation'!$A:$A,"&gt;"&amp;DATE(N$14 - 1, 3, 31),'I2 - Monthly Inflation'!$A:$A,"&lt;"&amp;DATE(N$14, 4, 1))</f>
        <v>133.51942715619251</v>
      </c>
      <c r="O22" s="1133">
        <f ca="1">AVERAGEIFS('I2 - Monthly Inflation'!$G:$G,'I2 - Monthly Inflation'!$A:$A,"&gt;"&amp;DATE(O$14 - 1, 3, 31),'I2 - Monthly Inflation'!$A:$A,"&lt;"&amp;DATE(O$14, 4, 1))</f>
        <v>135.60457158228363</v>
      </c>
      <c r="P22" s="1133">
        <f ca="1">AVERAGEIFS('I2 - Monthly Inflation'!$G:$G,'I2 - Monthly Inflation'!$A:$A,"&gt;"&amp;DATE(P$14 - 1, 3, 31),'I2 - Monthly Inflation'!$A:$A,"&lt;"&amp;DATE(P$14, 4, 1))</f>
        <v>137.9647837552657</v>
      </c>
      <c r="Q22" s="1133">
        <f ca="1">AVERAGEIFS('I2 - Monthly Inflation'!$G:$G,'I2 - Monthly Inflation'!$A:$A,"&gt;"&amp;DATE(Q$14 - 1, 3, 31),'I2 - Monthly Inflation'!$A:$A,"&lt;"&amp;DATE(Q$14, 4, 1))</f>
        <v>140.71341738495815</v>
      </c>
      <c r="R22" s="1133">
        <f ca="1">AVERAGEIFS('I2 - Monthly Inflation'!$G:$G,'I2 - Monthly Inflation'!$A:$A,"&gt;"&amp;DATE(R$14 - 1, 3, 31),'I2 - Monthly Inflation'!$A:$A,"&lt;"&amp;DATE(R$14, 4, 1))</f>
        <v>143.52768573265743</v>
      </c>
      <c r="S22" s="1133">
        <f ca="1">AVERAGEIFS('I2 - Monthly Inflation'!$G:$G,'I2 - Monthly Inflation'!$A:$A,"&gt;"&amp;DATE(S$14 - 1, 3, 31),'I2 - Monthly Inflation'!$A:$A,"&lt;"&amp;DATE(S$14, 4, 1))</f>
        <v>146.39823944731066</v>
      </c>
      <c r="T22" s="1133">
        <f ca="1">AVERAGEIFS('I2 - Monthly Inflation'!$G:$G,'I2 - Monthly Inflation'!$A:$A,"&gt;"&amp;DATE(T$14 - 1, 3, 31),'I2 - Monthly Inflation'!$A:$A,"&lt;"&amp;DATE(T$14, 4, 1))</f>
        <v>149.32620423625698</v>
      </c>
      <c r="U22" s="1133">
        <f ca="1">AVERAGEIFS('I2 - Monthly Inflation'!$G:$G,'I2 - Monthly Inflation'!$A:$A,"&gt;"&amp;DATE(U$14 - 1, 3, 31),'I2 - Monthly Inflation'!$A:$A,"&lt;"&amp;DATE(U$14, 4, 1))</f>
        <v>152.31272832098219</v>
      </c>
      <c r="V22" s="1133">
        <f ca="1">AVERAGEIFS('I2 - Monthly Inflation'!$G:$G,'I2 - Monthly Inflation'!$A:$A,"&gt;"&amp;DATE(V$14 - 1, 3, 31),'I2 - Monthly Inflation'!$A:$A,"&lt;"&amp;DATE(V$14, 4, 1))</f>
        <v>155.35898288740199</v>
      </c>
      <c r="W22" s="290"/>
      <c r="X22" s="290"/>
      <c r="Y22" s="290"/>
      <c r="Z22" s="290"/>
      <c r="AA22" s="290"/>
      <c r="AB22" s="290"/>
      <c r="AC22" s="290"/>
    </row>
    <row r="23" spans="1:29" s="291" customFormat="1" ht="14.5">
      <c r="A23" s="1117" t="s">
        <v>1124</v>
      </c>
      <c r="B23" s="291" t="s">
        <v>484</v>
      </c>
      <c r="D23" s="1128"/>
      <c r="E23" s="1135">
        <f t="shared" ref="E23:V23" ca="1" si="2">E22/D22-1</f>
        <v>4.4288459931480784E-3</v>
      </c>
      <c r="F23" s="1135">
        <f t="shared" ca="1" si="2"/>
        <v>1.3727121464226277E-2</v>
      </c>
      <c r="G23" s="1135">
        <f t="shared" ca="1" si="2"/>
        <v>2.6343865408288814E-2</v>
      </c>
      <c r="H23" s="1135">
        <f t="shared" ca="1" si="2"/>
        <v>2.1269790500559882E-2</v>
      </c>
      <c r="I23" s="1135">
        <f t="shared" ca="1" si="2"/>
        <v>1.6990291262135582E-2</v>
      </c>
      <c r="J23" s="1135">
        <f t="shared" ca="1" si="2"/>
        <v>8.0067749634311625E-3</v>
      </c>
      <c r="K23" s="1135">
        <f t="shared" ca="1" si="2"/>
        <v>3.6737187810280236E-2</v>
      </c>
      <c r="L23" s="1135">
        <f t="shared" ca="1" si="2"/>
        <v>8.7741270075143429E-2</v>
      </c>
      <c r="M23" s="1135">
        <f t="shared" ca="1" si="2"/>
        <v>5.5469014561462915E-2</v>
      </c>
      <c r="N23" s="1135">
        <f t="shared" ca="1" si="2"/>
        <v>2.8127005822837781E-2</v>
      </c>
      <c r="O23" s="1135">
        <f t="shared" ca="1" si="2"/>
        <v>1.5616786789025783E-2</v>
      </c>
      <c r="P23" s="1135">
        <f t="shared" ca="1" si="2"/>
        <v>1.7405107699852929E-2</v>
      </c>
      <c r="Q23" s="1135">
        <f t="shared" ca="1" si="2"/>
        <v>1.9922719080024187E-2</v>
      </c>
      <c r="R23" s="1135">
        <f t="shared" ca="1" si="2"/>
        <v>2.0000000000000906E-2</v>
      </c>
      <c r="S23" s="1135">
        <f t="shared" ca="1" si="2"/>
        <v>2.0000000000000462E-2</v>
      </c>
      <c r="T23" s="1135">
        <f t="shared" ca="1" si="2"/>
        <v>2.0000000000000684E-2</v>
      </c>
      <c r="U23" s="1135">
        <f t="shared" ca="1" si="2"/>
        <v>2.0000000000000462E-2</v>
      </c>
      <c r="V23" s="1135">
        <f t="shared" ca="1" si="2"/>
        <v>2.0000000000001128E-2</v>
      </c>
      <c r="W23" s="290"/>
      <c r="X23" s="290"/>
      <c r="Y23" s="290"/>
      <c r="Z23" s="290"/>
      <c r="AA23" s="290"/>
      <c r="AB23" s="290"/>
      <c r="AC23" s="290"/>
    </row>
    <row r="24" spans="1:29" s="291" customFormat="1" ht="14.5">
      <c r="A24" s="1117"/>
      <c r="D24" s="1132"/>
      <c r="E24" s="1132"/>
      <c r="F24" s="1132"/>
      <c r="G24" s="1132"/>
      <c r="H24" s="1132"/>
      <c r="I24" s="1132"/>
      <c r="J24" s="1132"/>
      <c r="K24" s="1132"/>
      <c r="L24" s="1132"/>
      <c r="M24" s="1132"/>
      <c r="N24" s="1132"/>
      <c r="O24" s="1132"/>
      <c r="P24" s="1132"/>
      <c r="Q24" s="1132"/>
      <c r="R24" s="1132"/>
      <c r="S24" s="1132"/>
      <c r="T24" s="1132"/>
      <c r="U24" s="1132"/>
      <c r="V24" s="1132"/>
      <c r="W24" s="290"/>
      <c r="X24" s="290"/>
      <c r="Y24" s="290"/>
      <c r="Z24" s="290"/>
      <c r="AA24" s="290"/>
      <c r="AB24" s="290"/>
      <c r="AC24" s="290"/>
    </row>
    <row r="25" spans="1:29" s="291" customFormat="1" ht="14.5">
      <c r="A25" s="1316" t="s">
        <v>1125</v>
      </c>
      <c r="B25" s="1317"/>
      <c r="C25" s="1317"/>
      <c r="D25" s="1317"/>
      <c r="E25" s="1317"/>
      <c r="F25" s="1317"/>
      <c r="G25" s="1317"/>
      <c r="W25" s="290"/>
      <c r="X25" s="290"/>
      <c r="Y25" s="290"/>
      <c r="Z25" s="290"/>
      <c r="AA25" s="290"/>
      <c r="AB25" s="290"/>
      <c r="AC25" s="290"/>
    </row>
    <row r="26" spans="1:29" ht="16">
      <c r="A26" s="1136" t="s">
        <v>182</v>
      </c>
      <c r="B26" s="291" t="s">
        <v>1126</v>
      </c>
      <c r="D26" s="1137"/>
      <c r="E26" s="1325">
        <v>5.0781749999999973E-3</v>
      </c>
      <c r="F26" s="1325">
        <v>3.4351165354330692E-3</v>
      </c>
      <c r="G26" s="1325">
        <v>3.5873463999999979E-3</v>
      </c>
      <c r="H26" s="1325">
        <v>6.6127083003952539E-3</v>
      </c>
      <c r="I26" s="1325">
        <v>6.803233464566928E-3</v>
      </c>
      <c r="J26" s="1325">
        <v>7.1293557312252984E-4</v>
      </c>
      <c r="K26" s="1325">
        <v>1.7992043478260867E-3</v>
      </c>
      <c r="L26" s="1325">
        <v>2.0980357784199554E-2</v>
      </c>
      <c r="M26" s="1325">
        <v>2.3740698686855872E-2</v>
      </c>
      <c r="N26" s="1325">
        <v>1.9477023536646317E-2</v>
      </c>
      <c r="O26" s="1325">
        <v>1.5611995450668598E-2</v>
      </c>
      <c r="P26" s="1325">
        <v>1.3742897566514626E-2</v>
      </c>
      <c r="Q26" s="1325">
        <v>1.3281905321116914E-2</v>
      </c>
      <c r="R26" s="1325">
        <v>1.3276122547146463E-2</v>
      </c>
      <c r="S26" s="1325">
        <v>1.3276122547146463E-2</v>
      </c>
      <c r="T26" s="1325">
        <v>1.3276122547146463E-2</v>
      </c>
      <c r="U26" s="1325">
        <v>1.3276122547146463E-2</v>
      </c>
      <c r="V26" s="1325">
        <v>1.3276122547146463E-2</v>
      </c>
    </row>
    <row r="27" spans="1:29" ht="16">
      <c r="A27" s="1136" t="s">
        <v>192</v>
      </c>
      <c r="B27" s="291" t="s">
        <v>1126</v>
      </c>
      <c r="D27" s="1138"/>
      <c r="E27" s="1325">
        <v>5.8068182539682493E-3</v>
      </c>
      <c r="F27" s="1325">
        <v>4.3909897637795289E-3</v>
      </c>
      <c r="G27" s="1325">
        <v>4.1095688000000029E-3</v>
      </c>
      <c r="H27" s="1325">
        <v>8.0087794466403156E-3</v>
      </c>
      <c r="I27" s="1325">
        <v>7.5744059055118133E-3</v>
      </c>
      <c r="J27" s="1325">
        <v>1.3609695652173918E-3</v>
      </c>
      <c r="K27" s="1325">
        <v>2.7350237154150194E-3</v>
      </c>
      <c r="L27" s="1325">
        <v>2.5740684477426647E-2</v>
      </c>
      <c r="M27" s="1325">
        <v>2.8715698686855855E-2</v>
      </c>
      <c r="N27" s="1325">
        <v>2.4452023536646307E-2</v>
      </c>
      <c r="O27" s="1325">
        <v>2.05869954506686E-2</v>
      </c>
      <c r="P27" s="1325">
        <v>1.8717897566514617E-2</v>
      </c>
      <c r="Q27" s="1325">
        <v>1.8256905321116835E-2</v>
      </c>
      <c r="R27" s="1325">
        <v>1.8251122547146371E-2</v>
      </c>
      <c r="S27" s="1325">
        <v>1.8251122547146368E-2</v>
      </c>
      <c r="T27" s="1325">
        <v>1.8251122547146368E-2</v>
      </c>
      <c r="U27" s="1325">
        <v>1.8251122547146371E-2</v>
      </c>
      <c r="V27" s="1325">
        <v>1.8251122547146365E-2</v>
      </c>
    </row>
    <row r="28" spans="1:29" ht="16">
      <c r="A28" s="1136" t="s">
        <v>201</v>
      </c>
      <c r="B28" s="291" t="s">
        <v>1126</v>
      </c>
      <c r="D28" s="1138"/>
      <c r="E28" s="1325">
        <v>7.3433785714285748E-3</v>
      </c>
      <c r="F28" s="1325">
        <v>5.8573948818897627E-3</v>
      </c>
      <c r="G28" s="1325">
        <v>5.2583907999999993E-3</v>
      </c>
      <c r="H28" s="1325">
        <v>9.1325312252964422E-3</v>
      </c>
      <c r="I28" s="1325">
        <v>8.2736870078740157E-3</v>
      </c>
      <c r="J28" s="1325">
        <v>1.9395011857707494E-3</v>
      </c>
      <c r="K28" s="1325">
        <v>4.3624873517786582E-3</v>
      </c>
      <c r="L28" s="1325">
        <v>3.2193353800135785E-2</v>
      </c>
      <c r="M28" s="1325">
        <v>3.5484698686855873E-2</v>
      </c>
      <c r="N28" s="1325">
        <v>3.1221023536646332E-2</v>
      </c>
      <c r="O28" s="1325">
        <v>2.7355995450668611E-2</v>
      </c>
      <c r="P28" s="1325">
        <v>2.5486897566514628E-2</v>
      </c>
      <c r="Q28" s="1325">
        <v>2.5025905321116808E-2</v>
      </c>
      <c r="R28" s="1325">
        <v>2.5020122547146306E-2</v>
      </c>
      <c r="S28" s="1325">
        <v>2.5020122547146306E-2</v>
      </c>
      <c r="T28" s="1325">
        <v>2.5020122547146306E-2</v>
      </c>
      <c r="U28" s="1325">
        <v>2.5020122547146306E-2</v>
      </c>
      <c r="V28" s="1325">
        <v>2.5020122547146306E-2</v>
      </c>
    </row>
    <row r="29" spans="1:29" ht="16">
      <c r="A29" s="1136" t="s">
        <v>209</v>
      </c>
      <c r="B29" s="291" t="s">
        <v>1126</v>
      </c>
      <c r="D29" s="1138"/>
      <c r="E29" s="1325">
        <v>1.0276014682539686E-2</v>
      </c>
      <c r="F29" s="1325">
        <v>8.2560413385826814E-3</v>
      </c>
      <c r="G29" s="1325">
        <v>7.3098552000000032E-3</v>
      </c>
      <c r="H29" s="1325">
        <v>1.0661026482213435E-2</v>
      </c>
      <c r="I29" s="1325">
        <v>9.1932188976377935E-3</v>
      </c>
      <c r="J29" s="1325">
        <v>2.9339932806324112E-3</v>
      </c>
      <c r="K29" s="1325">
        <v>6.4837596837944694E-3</v>
      </c>
      <c r="L29" s="1325">
        <v>3.5593353800135813E-2</v>
      </c>
      <c r="M29" s="1325">
        <v>3.8884698686855873E-2</v>
      </c>
      <c r="N29" s="1325">
        <v>3.4621023536646325E-2</v>
      </c>
      <c r="O29" s="1325">
        <v>3.0755995450668594E-2</v>
      </c>
      <c r="P29" s="1325">
        <v>2.8886897566514632E-2</v>
      </c>
      <c r="Q29" s="1325">
        <v>2.8425905321116832E-2</v>
      </c>
      <c r="R29" s="1325">
        <v>2.8420122547146334E-2</v>
      </c>
      <c r="S29" s="1325">
        <v>2.8420122547146334E-2</v>
      </c>
      <c r="T29" s="1325">
        <v>2.8420122547146334E-2</v>
      </c>
      <c r="U29" s="1325">
        <v>2.8420122547146334E-2</v>
      </c>
      <c r="V29" s="1325">
        <v>2.8420122547146334E-2</v>
      </c>
    </row>
    <row r="30" spans="1:29" ht="16">
      <c r="A30" s="1136" t="s">
        <v>214</v>
      </c>
      <c r="B30" s="291" t="s">
        <v>1126</v>
      </c>
      <c r="D30" s="1139"/>
      <c r="E30" s="1325">
        <v>4.6020119047619082E-3</v>
      </c>
      <c r="F30" s="1325">
        <v>2.971768627450981E-3</v>
      </c>
      <c r="G30" s="1325">
        <v>3.1490079681274906E-3</v>
      </c>
      <c r="H30" s="1325">
        <v>6.1974703557312284E-3</v>
      </c>
      <c r="I30" s="1325">
        <v>6.76011023622047E-3</v>
      </c>
      <c r="J30" s="1325">
        <v>5.5921739130434752E-4</v>
      </c>
      <c r="K30" s="1325">
        <v>1.4230988142292492E-3</v>
      </c>
      <c r="L30" s="1325">
        <v>2.2631043824701203E-2</v>
      </c>
      <c r="M30" s="1325">
        <v>4.9711560000000037E-2</v>
      </c>
      <c r="N30" s="1325">
        <v>4.9637201437048195E-2</v>
      </c>
      <c r="O30" s="1325">
        <v>4.5004104095878336E-2</v>
      </c>
      <c r="P30" s="1325">
        <v>4.0659022973774384E-2</v>
      </c>
      <c r="Q30" s="1325">
        <v>3.7787179498201061E-2</v>
      </c>
      <c r="R30" s="1325">
        <v>3.6732654717432131E-2</v>
      </c>
      <c r="S30" s="1325">
        <v>3.6621815274093257E-2</v>
      </c>
      <c r="T30" s="1325">
        <v>3.6622122547146405E-2</v>
      </c>
      <c r="U30" s="1325">
        <v>3.6622122547146405E-2</v>
      </c>
      <c r="V30" s="1325">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zoomScaleNormal="100" workbookViewId="0"/>
  </sheetViews>
  <sheetFormatPr defaultColWidth="9" defaultRowHeight="13.5" zeroHeight="1"/>
  <cols>
    <col min="1" max="1" width="12" style="1156" customWidth="1"/>
    <col min="2" max="2" width="8.3828125" style="1153" customWidth="1"/>
    <col min="3" max="4" width="9.3828125" style="450" customWidth="1"/>
    <col min="5" max="5" width="9.3828125" style="1154" customWidth="1"/>
    <col min="6" max="6" width="9.3828125" style="450" customWidth="1"/>
    <col min="7" max="8" width="9.3828125" style="1155" customWidth="1"/>
    <col min="9" max="9" width="10" style="450" customWidth="1"/>
    <col min="10" max="19" width="13.4609375" style="450" customWidth="1"/>
    <col min="20" max="20" width="11" style="136" customWidth="1"/>
    <col min="21" max="21" width="8.4609375" style="449" customWidth="1"/>
    <col min="22" max="48" width="9" style="136" customWidth="1"/>
    <col min="49" max="16384" width="9" style="136"/>
  </cols>
  <sheetData>
    <row r="1" spans="1:21" s="1098" customFormat="1" ht="19.5">
      <c r="A1" s="1095" t="str">
        <f ca="1">MID(CELL("filename",A1),FIND("]",CELL("filename",A1))+1,256)</f>
        <v>I2 - Monthly Inflation</v>
      </c>
      <c r="B1" s="1096"/>
      <c r="C1" s="1096"/>
      <c r="D1" s="1096"/>
      <c r="E1" s="1096"/>
      <c r="F1" s="1096"/>
      <c r="G1" s="1096"/>
      <c r="H1" s="1096"/>
      <c r="I1" s="1097"/>
      <c r="J1" s="1140"/>
      <c r="K1" s="1140"/>
      <c r="L1" s="1140"/>
      <c r="M1" s="1140"/>
      <c r="N1" s="1140"/>
      <c r="O1" s="1140"/>
      <c r="P1" s="1140"/>
      <c r="Q1" s="1140"/>
    </row>
    <row r="2" spans="1:21" s="1098" customFormat="1" ht="19.5">
      <c r="A2" s="1095" t="str">
        <f>Licensee</f>
        <v>SGN - Southern</v>
      </c>
      <c r="B2" s="1096"/>
      <c r="C2" s="1096"/>
      <c r="D2" s="1096"/>
      <c r="E2" s="1096"/>
      <c r="F2" s="1096"/>
      <c r="G2" s="1096"/>
      <c r="H2" s="1096"/>
      <c r="I2" s="1097"/>
      <c r="J2" s="1140"/>
      <c r="K2" s="1140"/>
      <c r="L2" s="1140"/>
      <c r="M2" s="1140"/>
      <c r="N2" s="1140"/>
      <c r="O2" s="1140"/>
      <c r="P2" s="1140"/>
      <c r="Q2" s="1140"/>
    </row>
    <row r="3" spans="1:21" s="1098" customFormat="1" ht="19.5">
      <c r="A3" s="1099" t="str">
        <f>Sector</f>
        <v>GD2</v>
      </c>
      <c r="B3" s="1100"/>
      <c r="C3" s="1100"/>
      <c r="D3" s="1100"/>
      <c r="E3" s="1100"/>
      <c r="F3" s="1100"/>
      <c r="G3" s="1100"/>
      <c r="H3" s="1100"/>
      <c r="I3" s="1101"/>
      <c r="J3" s="1140"/>
      <c r="K3" s="1140"/>
      <c r="L3" s="1140"/>
      <c r="M3" s="1140"/>
      <c r="N3" s="1140"/>
      <c r="O3" s="1140"/>
      <c r="P3" s="1140"/>
      <c r="Q3" s="1140"/>
    </row>
    <row r="4" spans="1:21" s="1103" customFormat="1" ht="14.5">
      <c r="A4" s="429" t="s">
        <v>1127</v>
      </c>
      <c r="B4" s="429"/>
      <c r="C4" s="430"/>
      <c r="D4" s="431"/>
      <c r="E4" s="431"/>
      <c r="F4" s="431"/>
      <c r="G4" s="431"/>
      <c r="H4" s="431"/>
      <c r="I4" s="432"/>
      <c r="J4" s="1102"/>
      <c r="K4" s="1102"/>
      <c r="L4" s="1102"/>
      <c r="M4" s="1102"/>
      <c r="N4" s="1102"/>
      <c r="O4" s="1102"/>
      <c r="P4" s="1102"/>
      <c r="R4" s="1098"/>
      <c r="S4" s="1098"/>
    </row>
    <row r="5" spans="1:21" ht="32.25" customHeight="1">
      <c r="A5" s="1141" t="s">
        <v>1128</v>
      </c>
      <c r="B5" s="1141" t="s">
        <v>1129</v>
      </c>
      <c r="C5" s="1142" t="s">
        <v>1130</v>
      </c>
      <c r="D5" s="1142" t="s">
        <v>1131</v>
      </c>
      <c r="E5" s="1143" t="s">
        <v>1132</v>
      </c>
      <c r="F5" s="1144" t="s">
        <v>1133</v>
      </c>
      <c r="G5" s="1145" t="s">
        <v>202</v>
      </c>
      <c r="H5" s="1145" t="s">
        <v>183</v>
      </c>
      <c r="I5" s="1146"/>
      <c r="J5" s="1146"/>
      <c r="K5" s="1146"/>
      <c r="L5" s="1146"/>
      <c r="M5" s="1146"/>
      <c r="N5" s="1146"/>
      <c r="O5" s="1146"/>
      <c r="P5" s="1146"/>
      <c r="Q5" s="1146"/>
      <c r="R5" s="1146"/>
      <c r="S5" s="1146"/>
      <c r="U5" s="136"/>
    </row>
    <row r="6" spans="1:21">
      <c r="A6" s="1157">
        <f>EOMONTH(DATE(1999, 4, 1), 0)</f>
        <v>36280</v>
      </c>
      <c r="B6" s="1158">
        <f t="shared" ref="B6:B69" si="0">IF(MONTH(A6)&gt;=4,YEAR(A6)+1,YEAR(A6))</f>
        <v>2000</v>
      </c>
      <c r="C6" s="1326">
        <v>72.599999999999994</v>
      </c>
      <c r="D6" s="1326">
        <v>165.2</v>
      </c>
      <c r="E6" s="1159" t="str">
        <f>IF($A6&lt;DATE(2018,7,1),"-",INDEX('I1 - Universal Data'!$E$16:$V$16, MATCH(YEAR(EOMONTH($A6,6)), 'I1 - Universal Data'!$E$14:$V$14, 0)))</f>
        <v>-</v>
      </c>
      <c r="F6" s="1159" t="str">
        <f>IF($A6&lt;DATE(2018,7,1),"-",INDEX('I1 - Universal Data'!$E$15:$V$15, MATCH(YEAR(EOMONTH($A6,6)), 'I1 - Universal Data'!$E$14:$V$14, 0)))</f>
        <v>-</v>
      </c>
      <c r="G6" s="1160">
        <f t="shared" ref="G6:H21" si="1">IF(ISBLANK(C6),G5*((1+E6)^(1/12)),C6)</f>
        <v>72.599999999999994</v>
      </c>
      <c r="H6" s="1160">
        <f t="shared" si="1"/>
        <v>165.2</v>
      </c>
      <c r="U6" s="136"/>
    </row>
    <row r="7" spans="1:21">
      <c r="A7" s="1157">
        <f t="shared" ref="A7:A70" si="2">IF(MONTH(A6) = 12, EOMONTH(DATE(YEAR(A6) + 1, 1, 1), 0), EOMONTH(DATE(YEAR(A6), MONTH(A6) + 1, 1), 0))</f>
        <v>36311</v>
      </c>
      <c r="B7" s="1158">
        <f t="shared" si="0"/>
        <v>2000</v>
      </c>
      <c r="C7" s="1326">
        <v>72.8</v>
      </c>
      <c r="D7" s="1326">
        <v>165.6</v>
      </c>
      <c r="E7" s="1159" t="str">
        <f>IF($A7&lt;DATE(2018,7,1),"-",INDEX('I1 - Universal Data'!$E$16:$V$16, MATCH(YEAR(EOMONTH($A7,6)), 'I1 - Universal Data'!$E$14:$V$14, 0)))</f>
        <v>-</v>
      </c>
      <c r="F7" s="1159" t="str">
        <f>IF($A7&lt;DATE(2018,7,1),"-",INDEX('I1 - Universal Data'!$E$15:$V$15, MATCH(YEAR(EOMONTH($A7,6)), 'I1 - Universal Data'!$E$14:$V$14, 0)))</f>
        <v>-</v>
      </c>
      <c r="G7" s="1160">
        <f t="shared" si="1"/>
        <v>72.8</v>
      </c>
      <c r="H7" s="1160">
        <f t="shared" si="1"/>
        <v>165.6</v>
      </c>
      <c r="U7" s="136"/>
    </row>
    <row r="8" spans="1:21">
      <c r="A8" s="1157">
        <f t="shared" si="2"/>
        <v>36341</v>
      </c>
      <c r="B8" s="1158">
        <f t="shared" si="0"/>
        <v>2000</v>
      </c>
      <c r="C8" s="1326">
        <v>72.7</v>
      </c>
      <c r="D8" s="1326">
        <v>165.6</v>
      </c>
      <c r="E8" s="1159" t="str">
        <f>IF($A8&lt;DATE(2018,7,1),"-",INDEX('I1 - Universal Data'!$E$16:$V$16, MATCH(YEAR(EOMONTH($A8,6)), 'I1 - Universal Data'!$E$14:$V$14, 0)))</f>
        <v>-</v>
      </c>
      <c r="F8" s="1159" t="str">
        <f>IF($A8&lt;DATE(2018,7,1),"-",INDEX('I1 - Universal Data'!$E$15:$V$15, MATCH(YEAR(EOMONTH($A8,6)), 'I1 - Universal Data'!$E$14:$V$14, 0)))</f>
        <v>-</v>
      </c>
      <c r="G8" s="1160">
        <f t="shared" si="1"/>
        <v>72.7</v>
      </c>
      <c r="H8" s="1160">
        <f t="shared" si="1"/>
        <v>165.6</v>
      </c>
      <c r="U8" s="136"/>
    </row>
    <row r="9" spans="1:21">
      <c r="A9" s="1157">
        <f t="shared" si="2"/>
        <v>36372</v>
      </c>
      <c r="B9" s="1158">
        <f t="shared" si="0"/>
        <v>2000</v>
      </c>
      <c r="C9" s="1326">
        <v>72.400000000000006</v>
      </c>
      <c r="D9" s="1326">
        <v>165.1</v>
      </c>
      <c r="E9" s="1159" t="str">
        <f>IF($A9&lt;DATE(2018,7,1),"-",INDEX('I1 - Universal Data'!$E$16:$V$16, MATCH(YEAR(EOMONTH($A9,6)), 'I1 - Universal Data'!$E$14:$V$14, 0)))</f>
        <v>-</v>
      </c>
      <c r="F9" s="1159" t="str">
        <f>IF($A9&lt;DATE(2018,7,1),"-",INDEX('I1 - Universal Data'!$E$15:$V$15, MATCH(YEAR(EOMONTH($A9,6)), 'I1 - Universal Data'!$E$14:$V$14, 0)))</f>
        <v>-</v>
      </c>
      <c r="G9" s="1160">
        <f t="shared" si="1"/>
        <v>72.400000000000006</v>
      </c>
      <c r="H9" s="1160">
        <f t="shared" si="1"/>
        <v>165.1</v>
      </c>
      <c r="U9" s="136"/>
    </row>
    <row r="10" spans="1:21">
      <c r="A10" s="1157">
        <f t="shared" si="2"/>
        <v>36403</v>
      </c>
      <c r="B10" s="1158">
        <f t="shared" si="0"/>
        <v>2000</v>
      </c>
      <c r="C10" s="1326">
        <v>72.599999999999994</v>
      </c>
      <c r="D10" s="1326">
        <v>165.5</v>
      </c>
      <c r="E10" s="1159" t="str">
        <f>IF($A10&lt;DATE(2018,7,1),"-",INDEX('I1 - Universal Data'!$E$16:$V$16, MATCH(YEAR(EOMONTH($A10,6)), 'I1 - Universal Data'!$E$14:$V$14, 0)))</f>
        <v>-</v>
      </c>
      <c r="F10" s="1159" t="str">
        <f>IF($A10&lt;DATE(2018,7,1),"-",INDEX('I1 - Universal Data'!$E$15:$V$15, MATCH(YEAR(EOMONTH($A10,6)), 'I1 - Universal Data'!$E$14:$V$14, 0)))</f>
        <v>-</v>
      </c>
      <c r="G10" s="1160">
        <f t="shared" si="1"/>
        <v>72.599999999999994</v>
      </c>
      <c r="H10" s="1160">
        <f t="shared" si="1"/>
        <v>165.5</v>
      </c>
      <c r="U10" s="136"/>
    </row>
    <row r="11" spans="1:21">
      <c r="A11" s="1157">
        <f t="shared" si="2"/>
        <v>36433</v>
      </c>
      <c r="B11" s="1158">
        <f t="shared" si="0"/>
        <v>2000</v>
      </c>
      <c r="C11" s="1326">
        <v>72.8</v>
      </c>
      <c r="D11" s="1326">
        <v>166.2</v>
      </c>
      <c r="E11" s="1159" t="str">
        <f>IF($A11&lt;DATE(2018,7,1),"-",INDEX('I1 - Universal Data'!$E$16:$V$16, MATCH(YEAR(EOMONTH($A11,6)), 'I1 - Universal Data'!$E$14:$V$14, 0)))</f>
        <v>-</v>
      </c>
      <c r="F11" s="1159" t="str">
        <f>IF($A11&lt;DATE(2018,7,1),"-",INDEX('I1 - Universal Data'!$E$15:$V$15, MATCH(YEAR(EOMONTH($A11,6)), 'I1 - Universal Data'!$E$14:$V$14, 0)))</f>
        <v>-</v>
      </c>
      <c r="G11" s="1160">
        <f t="shared" si="1"/>
        <v>72.8</v>
      </c>
      <c r="H11" s="1160">
        <f t="shared" si="1"/>
        <v>166.2</v>
      </c>
      <c r="U11" s="136"/>
    </row>
    <row r="12" spans="1:21">
      <c r="A12" s="1157">
        <f t="shared" si="2"/>
        <v>36464</v>
      </c>
      <c r="B12" s="1158">
        <f t="shared" si="0"/>
        <v>2000</v>
      </c>
      <c r="C12" s="1326">
        <v>72.8</v>
      </c>
      <c r="D12" s="1326">
        <v>166.5</v>
      </c>
      <c r="E12" s="1159" t="str">
        <f>IF($A12&lt;DATE(2018,7,1),"-",INDEX('I1 - Universal Data'!$E$16:$V$16, MATCH(YEAR(EOMONTH($A12,6)), 'I1 - Universal Data'!$E$14:$V$14, 0)))</f>
        <v>-</v>
      </c>
      <c r="F12" s="1159" t="str">
        <f>IF($A12&lt;DATE(2018,7,1),"-",INDEX('I1 - Universal Data'!$E$15:$V$15, MATCH(YEAR(EOMONTH($A12,6)), 'I1 - Universal Data'!$E$14:$V$14, 0)))</f>
        <v>-</v>
      </c>
      <c r="G12" s="1160">
        <f t="shared" si="1"/>
        <v>72.8</v>
      </c>
      <c r="H12" s="1160">
        <f t="shared" si="1"/>
        <v>166.5</v>
      </c>
      <c r="U12" s="136"/>
    </row>
    <row r="13" spans="1:21">
      <c r="A13" s="1157">
        <f t="shared" si="2"/>
        <v>36494</v>
      </c>
      <c r="B13" s="1158">
        <f t="shared" si="0"/>
        <v>2000</v>
      </c>
      <c r="C13" s="1326">
        <v>72.900000000000006</v>
      </c>
      <c r="D13" s="1326">
        <v>166.7</v>
      </c>
      <c r="E13" s="1159" t="str">
        <f>IF($A13&lt;DATE(2018,7,1),"-",INDEX('I1 - Universal Data'!$E$16:$V$16, MATCH(YEAR(EOMONTH($A13,6)), 'I1 - Universal Data'!$E$14:$V$14, 0)))</f>
        <v>-</v>
      </c>
      <c r="F13" s="1159" t="str">
        <f>IF($A13&lt;DATE(2018,7,1),"-",INDEX('I1 - Universal Data'!$E$15:$V$15, MATCH(YEAR(EOMONTH($A13,6)), 'I1 - Universal Data'!$E$14:$V$14, 0)))</f>
        <v>-</v>
      </c>
      <c r="G13" s="1160">
        <f t="shared" si="1"/>
        <v>72.900000000000006</v>
      </c>
      <c r="H13" s="1160">
        <f t="shared" si="1"/>
        <v>166.7</v>
      </c>
      <c r="U13" s="136"/>
    </row>
    <row r="14" spans="1:21">
      <c r="A14" s="1157">
        <f t="shared" si="2"/>
        <v>36525</v>
      </c>
      <c r="B14" s="1158">
        <f t="shared" si="0"/>
        <v>2000</v>
      </c>
      <c r="C14" s="1326">
        <v>73.099999999999994</v>
      </c>
      <c r="D14" s="1326">
        <v>167.3</v>
      </c>
      <c r="E14" s="1159" t="str">
        <f>IF($A14&lt;DATE(2018,7,1),"-",INDEX('I1 - Universal Data'!$E$16:$V$16, MATCH(YEAR(EOMONTH($A14,6)), 'I1 - Universal Data'!$E$14:$V$14, 0)))</f>
        <v>-</v>
      </c>
      <c r="F14" s="1159" t="str">
        <f>IF($A14&lt;DATE(2018,7,1),"-",INDEX('I1 - Universal Data'!$E$15:$V$15, MATCH(YEAR(EOMONTH($A14,6)), 'I1 - Universal Data'!$E$14:$V$14, 0)))</f>
        <v>-</v>
      </c>
      <c r="G14" s="1160">
        <f t="shared" si="1"/>
        <v>73.099999999999994</v>
      </c>
      <c r="H14" s="1160">
        <f t="shared" si="1"/>
        <v>167.3</v>
      </c>
      <c r="U14" s="136"/>
    </row>
    <row r="15" spans="1:21">
      <c r="A15" s="1157">
        <f t="shared" si="2"/>
        <v>36556</v>
      </c>
      <c r="B15" s="1158">
        <f t="shared" si="0"/>
        <v>2000</v>
      </c>
      <c r="C15" s="1326">
        <v>72.599999999999994</v>
      </c>
      <c r="D15" s="1326">
        <v>166.6</v>
      </c>
      <c r="E15" s="1159" t="str">
        <f>IF($A15&lt;DATE(2018,7,1),"-",INDEX('I1 - Universal Data'!$E$16:$V$16, MATCH(YEAR(EOMONTH($A15,6)), 'I1 - Universal Data'!$E$14:$V$14, 0)))</f>
        <v>-</v>
      </c>
      <c r="F15" s="1159" t="str">
        <f>IF($A15&lt;DATE(2018,7,1),"-",INDEX('I1 - Universal Data'!$E$15:$V$15, MATCH(YEAR(EOMONTH($A15,6)), 'I1 - Universal Data'!$E$14:$V$14, 0)))</f>
        <v>-</v>
      </c>
      <c r="G15" s="1160">
        <f t="shared" si="1"/>
        <v>72.599999999999994</v>
      </c>
      <c r="H15" s="1160">
        <f t="shared" si="1"/>
        <v>166.6</v>
      </c>
      <c r="U15" s="136"/>
    </row>
    <row r="16" spans="1:21">
      <c r="A16" s="1157">
        <f t="shared" si="2"/>
        <v>36585</v>
      </c>
      <c r="B16" s="1158">
        <f t="shared" si="0"/>
        <v>2000</v>
      </c>
      <c r="C16" s="1326">
        <v>72.8</v>
      </c>
      <c r="D16" s="1326">
        <v>167.5</v>
      </c>
      <c r="E16" s="1159" t="str">
        <f>IF($A16&lt;DATE(2018,7,1),"-",INDEX('I1 - Universal Data'!$E$16:$V$16, MATCH(YEAR(EOMONTH($A16,6)), 'I1 - Universal Data'!$E$14:$V$14, 0)))</f>
        <v>-</v>
      </c>
      <c r="F16" s="1159" t="str">
        <f>IF($A16&lt;DATE(2018,7,1),"-",INDEX('I1 - Universal Data'!$E$15:$V$15, MATCH(YEAR(EOMONTH($A16,6)), 'I1 - Universal Data'!$E$14:$V$14, 0)))</f>
        <v>-</v>
      </c>
      <c r="G16" s="1160">
        <f t="shared" si="1"/>
        <v>72.8</v>
      </c>
      <c r="H16" s="1160">
        <f t="shared" si="1"/>
        <v>167.5</v>
      </c>
      <c r="U16" s="136"/>
    </row>
    <row r="17" spans="1:21">
      <c r="A17" s="1157">
        <f t="shared" si="2"/>
        <v>36616</v>
      </c>
      <c r="B17" s="1158">
        <f t="shared" si="0"/>
        <v>2000</v>
      </c>
      <c r="C17" s="1326">
        <v>73</v>
      </c>
      <c r="D17" s="1326">
        <v>168.4</v>
      </c>
      <c r="E17" s="1159" t="str">
        <f>IF($A17&lt;DATE(2018,7,1),"-",INDEX('I1 - Universal Data'!$E$16:$V$16, MATCH(YEAR(EOMONTH($A17,6)), 'I1 - Universal Data'!$E$14:$V$14, 0)))</f>
        <v>-</v>
      </c>
      <c r="F17" s="1159" t="str">
        <f>IF($A17&lt;DATE(2018,7,1),"-",INDEX('I1 - Universal Data'!$E$15:$V$15, MATCH(YEAR(EOMONTH($A17,6)), 'I1 - Universal Data'!$E$14:$V$14, 0)))</f>
        <v>-</v>
      </c>
      <c r="G17" s="1160">
        <f t="shared" si="1"/>
        <v>73</v>
      </c>
      <c r="H17" s="1160">
        <f t="shared" si="1"/>
        <v>168.4</v>
      </c>
      <c r="U17" s="136"/>
    </row>
    <row r="18" spans="1:21">
      <c r="A18" s="1157">
        <f t="shared" si="2"/>
        <v>36646</v>
      </c>
      <c r="B18" s="1158">
        <f t="shared" si="0"/>
        <v>2001</v>
      </c>
      <c r="C18" s="1326">
        <v>73.3</v>
      </c>
      <c r="D18" s="1326">
        <v>170.1</v>
      </c>
      <c r="E18" s="1159" t="str">
        <f>IF($A18&lt;DATE(2018,7,1),"-",INDEX('I1 - Universal Data'!$E$16:$V$16, MATCH(YEAR(EOMONTH($A18,6)), 'I1 - Universal Data'!$E$14:$V$14, 0)))</f>
        <v>-</v>
      </c>
      <c r="F18" s="1159" t="str">
        <f>IF($A18&lt;DATE(2018,7,1),"-",INDEX('I1 - Universal Data'!$E$15:$V$15, MATCH(YEAR(EOMONTH($A18,6)), 'I1 - Universal Data'!$E$14:$V$14, 0)))</f>
        <v>-</v>
      </c>
      <c r="G18" s="1160">
        <f t="shared" si="1"/>
        <v>73.3</v>
      </c>
      <c r="H18" s="1160">
        <f t="shared" si="1"/>
        <v>170.1</v>
      </c>
      <c r="U18" s="136"/>
    </row>
    <row r="19" spans="1:21">
      <c r="A19" s="1157">
        <f t="shared" si="2"/>
        <v>36677</v>
      </c>
      <c r="B19" s="1158">
        <f t="shared" si="0"/>
        <v>2001</v>
      </c>
      <c r="C19" s="1326">
        <v>73.5</v>
      </c>
      <c r="D19" s="1326">
        <v>170.7</v>
      </c>
      <c r="E19" s="1159" t="str">
        <f>IF($A19&lt;DATE(2018,7,1),"-",INDEX('I1 - Universal Data'!$E$16:$V$16, MATCH(YEAR(EOMONTH($A19,6)), 'I1 - Universal Data'!$E$14:$V$14, 0)))</f>
        <v>-</v>
      </c>
      <c r="F19" s="1159" t="str">
        <f>IF($A19&lt;DATE(2018,7,1),"-",INDEX('I1 - Universal Data'!$E$15:$V$15, MATCH(YEAR(EOMONTH($A19,6)), 'I1 - Universal Data'!$E$14:$V$14, 0)))</f>
        <v>-</v>
      </c>
      <c r="G19" s="1160">
        <f t="shared" si="1"/>
        <v>73.5</v>
      </c>
      <c r="H19" s="1160">
        <f t="shared" si="1"/>
        <v>170.7</v>
      </c>
      <c r="U19" s="136"/>
    </row>
    <row r="20" spans="1:21">
      <c r="A20" s="1157">
        <f t="shared" si="2"/>
        <v>36707</v>
      </c>
      <c r="B20" s="1158">
        <f t="shared" si="0"/>
        <v>2001</v>
      </c>
      <c r="C20" s="1326">
        <v>73.599999999999994</v>
      </c>
      <c r="D20" s="1326">
        <v>171.1</v>
      </c>
      <c r="E20" s="1159" t="str">
        <f>IF($A20&lt;DATE(2018,7,1),"-",INDEX('I1 - Universal Data'!$E$16:$V$16, MATCH(YEAR(EOMONTH($A20,6)), 'I1 - Universal Data'!$E$14:$V$14, 0)))</f>
        <v>-</v>
      </c>
      <c r="F20" s="1159" t="str">
        <f>IF($A20&lt;DATE(2018,7,1),"-",INDEX('I1 - Universal Data'!$E$15:$V$15, MATCH(YEAR(EOMONTH($A20,6)), 'I1 - Universal Data'!$E$14:$V$14, 0)))</f>
        <v>-</v>
      </c>
      <c r="G20" s="1160">
        <f t="shared" si="1"/>
        <v>73.599999999999994</v>
      </c>
      <c r="H20" s="1160">
        <f t="shared" si="1"/>
        <v>171.1</v>
      </c>
      <c r="U20" s="136"/>
    </row>
    <row r="21" spans="1:21">
      <c r="A21" s="1157">
        <f t="shared" si="2"/>
        <v>36738</v>
      </c>
      <c r="B21" s="1158">
        <f t="shared" si="0"/>
        <v>2001</v>
      </c>
      <c r="C21" s="1326">
        <v>73.3</v>
      </c>
      <c r="D21" s="1326">
        <v>170.5</v>
      </c>
      <c r="E21" s="1159" t="str">
        <f>IF($A21&lt;DATE(2018,7,1),"-",INDEX('I1 - Universal Data'!$E$16:$V$16, MATCH(YEAR(EOMONTH($A21,6)), 'I1 - Universal Data'!$E$14:$V$14, 0)))</f>
        <v>-</v>
      </c>
      <c r="F21" s="1159" t="str">
        <f>IF($A21&lt;DATE(2018,7,1),"-",INDEX('I1 - Universal Data'!$E$15:$V$15, MATCH(YEAR(EOMONTH($A21,6)), 'I1 - Universal Data'!$E$14:$V$14, 0)))</f>
        <v>-</v>
      </c>
      <c r="G21" s="1160">
        <f t="shared" si="1"/>
        <v>73.3</v>
      </c>
      <c r="H21" s="1160">
        <f t="shared" si="1"/>
        <v>170.5</v>
      </c>
      <c r="U21" s="136"/>
    </row>
    <row r="22" spans="1:21">
      <c r="A22" s="1157">
        <f t="shared" si="2"/>
        <v>36769</v>
      </c>
      <c r="B22" s="1158">
        <f t="shared" si="0"/>
        <v>2001</v>
      </c>
      <c r="C22" s="1326">
        <v>73.3</v>
      </c>
      <c r="D22" s="1326">
        <v>170.5</v>
      </c>
      <c r="E22" s="1159" t="str">
        <f>IF($A22&lt;DATE(2018,7,1),"-",INDEX('I1 - Universal Data'!$E$16:$V$16, MATCH(YEAR(EOMONTH($A22,6)), 'I1 - Universal Data'!$E$14:$V$14, 0)))</f>
        <v>-</v>
      </c>
      <c r="F22" s="1159" t="str">
        <f>IF($A22&lt;DATE(2018,7,1),"-",INDEX('I1 - Universal Data'!$E$15:$V$15, MATCH(YEAR(EOMONTH($A22,6)), 'I1 - Universal Data'!$E$14:$V$14, 0)))</f>
        <v>-</v>
      </c>
      <c r="G22" s="1160">
        <f t="shared" ref="G22:H37" si="3">IF(ISBLANK(C22),G21*((1+E22)^(1/12)),C22)</f>
        <v>73.3</v>
      </c>
      <c r="H22" s="1160">
        <f t="shared" si="3"/>
        <v>170.5</v>
      </c>
      <c r="U22" s="136"/>
    </row>
    <row r="23" spans="1:21">
      <c r="A23" s="1157">
        <f t="shared" si="2"/>
        <v>36799</v>
      </c>
      <c r="B23" s="1158">
        <f t="shared" si="0"/>
        <v>2001</v>
      </c>
      <c r="C23" s="1326">
        <v>73.8</v>
      </c>
      <c r="D23" s="1326">
        <v>171.7</v>
      </c>
      <c r="E23" s="1159" t="str">
        <f>IF($A23&lt;DATE(2018,7,1),"-",INDEX('I1 - Universal Data'!$E$16:$V$16, MATCH(YEAR(EOMONTH($A23,6)), 'I1 - Universal Data'!$E$14:$V$14, 0)))</f>
        <v>-</v>
      </c>
      <c r="F23" s="1159" t="str">
        <f>IF($A23&lt;DATE(2018,7,1),"-",INDEX('I1 - Universal Data'!$E$15:$V$15, MATCH(YEAR(EOMONTH($A23,6)), 'I1 - Universal Data'!$E$14:$V$14, 0)))</f>
        <v>-</v>
      </c>
      <c r="G23" s="1160">
        <f t="shared" si="3"/>
        <v>73.8</v>
      </c>
      <c r="H23" s="1160">
        <f t="shared" si="3"/>
        <v>171.7</v>
      </c>
      <c r="U23" s="136"/>
    </row>
    <row r="24" spans="1:21">
      <c r="A24" s="1157">
        <f t="shared" si="2"/>
        <v>36830</v>
      </c>
      <c r="B24" s="1158">
        <f t="shared" si="0"/>
        <v>2001</v>
      </c>
      <c r="C24" s="1326">
        <v>73.8</v>
      </c>
      <c r="D24" s="1326">
        <v>171.6</v>
      </c>
      <c r="E24" s="1159" t="str">
        <f>IF($A24&lt;DATE(2018,7,1),"-",INDEX('I1 - Universal Data'!$E$16:$V$16, MATCH(YEAR(EOMONTH($A24,6)), 'I1 - Universal Data'!$E$14:$V$14, 0)))</f>
        <v>-</v>
      </c>
      <c r="F24" s="1159" t="str">
        <f>IF($A24&lt;DATE(2018,7,1),"-",INDEX('I1 - Universal Data'!$E$15:$V$15, MATCH(YEAR(EOMONTH($A24,6)), 'I1 - Universal Data'!$E$14:$V$14, 0)))</f>
        <v>-</v>
      </c>
      <c r="G24" s="1160">
        <f t="shared" si="3"/>
        <v>73.8</v>
      </c>
      <c r="H24" s="1160">
        <f t="shared" si="3"/>
        <v>171.6</v>
      </c>
      <c r="U24" s="136"/>
    </row>
    <row r="25" spans="1:21">
      <c r="A25" s="1157">
        <f t="shared" si="2"/>
        <v>36860</v>
      </c>
      <c r="B25" s="1158">
        <f t="shared" si="0"/>
        <v>2001</v>
      </c>
      <c r="C25" s="1326">
        <v>74</v>
      </c>
      <c r="D25" s="1326">
        <v>172.1</v>
      </c>
      <c r="E25" s="1159" t="str">
        <f>IF($A25&lt;DATE(2018,7,1),"-",INDEX('I1 - Universal Data'!$E$16:$V$16, MATCH(YEAR(EOMONTH($A25,6)), 'I1 - Universal Data'!$E$14:$V$14, 0)))</f>
        <v>-</v>
      </c>
      <c r="F25" s="1159" t="str">
        <f>IF($A25&lt;DATE(2018,7,1),"-",INDEX('I1 - Universal Data'!$E$15:$V$15, MATCH(YEAR(EOMONTH($A25,6)), 'I1 - Universal Data'!$E$14:$V$14, 0)))</f>
        <v>-</v>
      </c>
      <c r="G25" s="1160">
        <f t="shared" si="3"/>
        <v>74</v>
      </c>
      <c r="H25" s="1160">
        <f t="shared" si="3"/>
        <v>172.1</v>
      </c>
      <c r="U25" s="136"/>
    </row>
    <row r="26" spans="1:21">
      <c r="A26" s="1157">
        <f t="shared" si="2"/>
        <v>36891</v>
      </c>
      <c r="B26" s="1158">
        <f t="shared" si="0"/>
        <v>2001</v>
      </c>
      <c r="C26" s="1326">
        <v>74</v>
      </c>
      <c r="D26" s="1326">
        <v>172.2</v>
      </c>
      <c r="E26" s="1159" t="str">
        <f>IF($A26&lt;DATE(2018,7,1),"-",INDEX('I1 - Universal Data'!$E$16:$V$16, MATCH(YEAR(EOMONTH($A26,6)), 'I1 - Universal Data'!$E$14:$V$14, 0)))</f>
        <v>-</v>
      </c>
      <c r="F26" s="1159" t="str">
        <f>IF($A26&lt;DATE(2018,7,1),"-",INDEX('I1 - Universal Data'!$E$15:$V$15, MATCH(YEAR(EOMONTH($A26,6)), 'I1 - Universal Data'!$E$14:$V$14, 0)))</f>
        <v>-</v>
      </c>
      <c r="G26" s="1160">
        <f t="shared" si="3"/>
        <v>74</v>
      </c>
      <c r="H26" s="1160">
        <f t="shared" si="3"/>
        <v>172.2</v>
      </c>
      <c r="U26" s="136"/>
    </row>
    <row r="27" spans="1:21">
      <c r="A27" s="1157">
        <f t="shared" si="2"/>
        <v>36922</v>
      </c>
      <c r="B27" s="1158">
        <f t="shared" si="0"/>
        <v>2001</v>
      </c>
      <c r="C27" s="1326">
        <v>73.5</v>
      </c>
      <c r="D27" s="1326">
        <v>171.1</v>
      </c>
      <c r="E27" s="1159" t="str">
        <f>IF($A27&lt;DATE(2018,7,1),"-",INDEX('I1 - Universal Data'!$E$16:$V$16, MATCH(YEAR(EOMONTH($A27,6)), 'I1 - Universal Data'!$E$14:$V$14, 0)))</f>
        <v>-</v>
      </c>
      <c r="F27" s="1159" t="str">
        <f>IF($A27&lt;DATE(2018,7,1),"-",INDEX('I1 - Universal Data'!$E$15:$V$15, MATCH(YEAR(EOMONTH($A27,6)), 'I1 - Universal Data'!$E$14:$V$14, 0)))</f>
        <v>-</v>
      </c>
      <c r="G27" s="1160">
        <f t="shared" si="3"/>
        <v>73.5</v>
      </c>
      <c r="H27" s="1160">
        <f t="shared" si="3"/>
        <v>171.1</v>
      </c>
      <c r="U27" s="1148"/>
    </row>
    <row r="28" spans="1:21">
      <c r="A28" s="1157">
        <f t="shared" si="2"/>
        <v>36950</v>
      </c>
      <c r="B28" s="1158">
        <f t="shared" si="0"/>
        <v>2001</v>
      </c>
      <c r="C28" s="1326">
        <v>73.7</v>
      </c>
      <c r="D28" s="1326">
        <v>172</v>
      </c>
      <c r="E28" s="1159" t="str">
        <f>IF($A28&lt;DATE(2018,7,1),"-",INDEX('I1 - Universal Data'!$E$16:$V$16, MATCH(YEAR(EOMONTH($A28,6)), 'I1 - Universal Data'!$E$14:$V$14, 0)))</f>
        <v>-</v>
      </c>
      <c r="F28" s="1159" t="str">
        <f>IF($A28&lt;DATE(2018,7,1),"-",INDEX('I1 - Universal Data'!$E$15:$V$15, MATCH(YEAR(EOMONTH($A28,6)), 'I1 - Universal Data'!$E$14:$V$14, 0)))</f>
        <v>-</v>
      </c>
      <c r="G28" s="1160">
        <f t="shared" si="3"/>
        <v>73.7</v>
      </c>
      <c r="H28" s="1160">
        <f t="shared" si="3"/>
        <v>172</v>
      </c>
      <c r="U28" s="1148"/>
    </row>
    <row r="29" spans="1:21">
      <c r="A29" s="1157">
        <f t="shared" si="2"/>
        <v>36981</v>
      </c>
      <c r="B29" s="1158">
        <f t="shared" si="0"/>
        <v>2001</v>
      </c>
      <c r="C29" s="1326">
        <v>73.900000000000006</v>
      </c>
      <c r="D29" s="1326">
        <v>172.2</v>
      </c>
      <c r="E29" s="1159" t="str">
        <f>IF($A29&lt;DATE(2018,7,1),"-",INDEX('I1 - Universal Data'!$E$16:$V$16, MATCH(YEAR(EOMONTH($A29,6)), 'I1 - Universal Data'!$E$14:$V$14, 0)))</f>
        <v>-</v>
      </c>
      <c r="F29" s="1159" t="str">
        <f>IF($A29&lt;DATE(2018,7,1),"-",INDEX('I1 - Universal Data'!$E$15:$V$15, MATCH(YEAR(EOMONTH($A29,6)), 'I1 - Universal Data'!$E$14:$V$14, 0)))</f>
        <v>-</v>
      </c>
      <c r="G29" s="1160">
        <f t="shared" si="3"/>
        <v>73.900000000000006</v>
      </c>
      <c r="H29" s="1160">
        <f t="shared" si="3"/>
        <v>172.2</v>
      </c>
      <c r="U29" s="1148"/>
    </row>
    <row r="30" spans="1:21">
      <c r="A30" s="1157">
        <f t="shared" si="2"/>
        <v>37011</v>
      </c>
      <c r="B30" s="1158">
        <f t="shared" si="0"/>
        <v>2002</v>
      </c>
      <c r="C30" s="1326">
        <v>74.400000000000006</v>
      </c>
      <c r="D30" s="1326">
        <v>173.1</v>
      </c>
      <c r="E30" s="1159" t="str">
        <f>IF($A30&lt;DATE(2018,7,1),"-",INDEX('I1 - Universal Data'!$E$16:$V$16, MATCH(YEAR(EOMONTH($A30,6)), 'I1 - Universal Data'!$E$14:$V$14, 0)))</f>
        <v>-</v>
      </c>
      <c r="F30" s="1159" t="str">
        <f>IF($A30&lt;DATE(2018,7,1),"-",INDEX('I1 - Universal Data'!$E$15:$V$15, MATCH(YEAR(EOMONTH($A30,6)), 'I1 - Universal Data'!$E$14:$V$14, 0)))</f>
        <v>-</v>
      </c>
      <c r="G30" s="1160">
        <f t="shared" si="3"/>
        <v>74.400000000000006</v>
      </c>
      <c r="H30" s="1160">
        <f t="shared" si="3"/>
        <v>173.1</v>
      </c>
      <c r="U30" s="1148"/>
    </row>
    <row r="31" spans="1:21">
      <c r="A31" s="1157">
        <f t="shared" si="2"/>
        <v>37042</v>
      </c>
      <c r="B31" s="1158">
        <f t="shared" si="0"/>
        <v>2002</v>
      </c>
      <c r="C31" s="1326">
        <v>74.900000000000006</v>
      </c>
      <c r="D31" s="1326">
        <v>174.2</v>
      </c>
      <c r="E31" s="1159" t="str">
        <f>IF($A31&lt;DATE(2018,7,1),"-",INDEX('I1 - Universal Data'!$E$16:$V$16, MATCH(YEAR(EOMONTH($A31,6)), 'I1 - Universal Data'!$E$14:$V$14, 0)))</f>
        <v>-</v>
      </c>
      <c r="F31" s="1159" t="str">
        <f>IF($A31&lt;DATE(2018,7,1),"-",INDEX('I1 - Universal Data'!$E$15:$V$15, MATCH(YEAR(EOMONTH($A31,6)), 'I1 - Universal Data'!$E$14:$V$14, 0)))</f>
        <v>-</v>
      </c>
      <c r="G31" s="1160">
        <f t="shared" si="3"/>
        <v>74.900000000000006</v>
      </c>
      <c r="H31" s="1160">
        <f t="shared" si="3"/>
        <v>174.2</v>
      </c>
      <c r="U31" s="1148"/>
    </row>
    <row r="32" spans="1:21">
      <c r="A32" s="1157">
        <f t="shared" si="2"/>
        <v>37072</v>
      </c>
      <c r="B32" s="1158">
        <f t="shared" si="0"/>
        <v>2002</v>
      </c>
      <c r="C32" s="1326">
        <v>75</v>
      </c>
      <c r="D32" s="1326">
        <v>174.4</v>
      </c>
      <c r="E32" s="1159" t="str">
        <f>IF($A32&lt;DATE(2018,7,1),"-",INDEX('I1 - Universal Data'!$E$16:$V$16, MATCH(YEAR(EOMONTH($A32,6)), 'I1 - Universal Data'!$E$14:$V$14, 0)))</f>
        <v>-</v>
      </c>
      <c r="F32" s="1159" t="str">
        <f>IF($A32&lt;DATE(2018,7,1),"-",INDEX('I1 - Universal Data'!$E$15:$V$15, MATCH(YEAR(EOMONTH($A32,6)), 'I1 - Universal Data'!$E$14:$V$14, 0)))</f>
        <v>-</v>
      </c>
      <c r="G32" s="1160">
        <f t="shared" si="3"/>
        <v>75</v>
      </c>
      <c r="H32" s="1160">
        <f t="shared" si="3"/>
        <v>174.4</v>
      </c>
      <c r="U32" s="1148"/>
    </row>
    <row r="33" spans="1:21">
      <c r="A33" s="1157">
        <f t="shared" si="2"/>
        <v>37103</v>
      </c>
      <c r="B33" s="1158">
        <f t="shared" si="0"/>
        <v>2002</v>
      </c>
      <c r="C33" s="1326">
        <v>74.5</v>
      </c>
      <c r="D33" s="1326">
        <v>173.3</v>
      </c>
      <c r="E33" s="1159" t="str">
        <f>IF($A33&lt;DATE(2018,7,1),"-",INDEX('I1 - Universal Data'!$E$16:$V$16, MATCH(YEAR(EOMONTH($A33,6)), 'I1 - Universal Data'!$E$14:$V$14, 0)))</f>
        <v>-</v>
      </c>
      <c r="F33" s="1159" t="str">
        <f>IF($A33&lt;DATE(2018,7,1),"-",INDEX('I1 - Universal Data'!$E$15:$V$15, MATCH(YEAR(EOMONTH($A33,6)), 'I1 - Universal Data'!$E$14:$V$14, 0)))</f>
        <v>-</v>
      </c>
      <c r="G33" s="1160">
        <f t="shared" si="3"/>
        <v>74.5</v>
      </c>
      <c r="H33" s="1160">
        <f t="shared" si="3"/>
        <v>173.3</v>
      </c>
      <c r="U33" s="1148"/>
    </row>
    <row r="34" spans="1:21">
      <c r="A34" s="1157">
        <f t="shared" si="2"/>
        <v>37134</v>
      </c>
      <c r="B34" s="1158">
        <f t="shared" si="0"/>
        <v>2002</v>
      </c>
      <c r="C34" s="1326">
        <v>74.8</v>
      </c>
      <c r="D34" s="1326">
        <v>174</v>
      </c>
      <c r="E34" s="1159" t="str">
        <f>IF($A34&lt;DATE(2018,7,1),"-",INDEX('I1 - Universal Data'!$E$16:$V$16, MATCH(YEAR(EOMONTH($A34,6)), 'I1 - Universal Data'!$E$14:$V$14, 0)))</f>
        <v>-</v>
      </c>
      <c r="F34" s="1159" t="str">
        <f>IF($A34&lt;DATE(2018,7,1),"-",INDEX('I1 - Universal Data'!$E$15:$V$15, MATCH(YEAR(EOMONTH($A34,6)), 'I1 - Universal Data'!$E$14:$V$14, 0)))</f>
        <v>-</v>
      </c>
      <c r="G34" s="1160">
        <f t="shared" si="3"/>
        <v>74.8</v>
      </c>
      <c r="H34" s="1160">
        <f t="shared" si="3"/>
        <v>174</v>
      </c>
      <c r="U34" s="1148"/>
    </row>
    <row r="35" spans="1:21">
      <c r="A35" s="1157">
        <f t="shared" si="2"/>
        <v>37164</v>
      </c>
      <c r="B35" s="1158">
        <f t="shared" si="0"/>
        <v>2002</v>
      </c>
      <c r="C35" s="1326">
        <v>75</v>
      </c>
      <c r="D35" s="1326">
        <v>174.6</v>
      </c>
      <c r="E35" s="1159" t="str">
        <f>IF($A35&lt;DATE(2018,7,1),"-",INDEX('I1 - Universal Data'!$E$16:$V$16, MATCH(YEAR(EOMONTH($A35,6)), 'I1 - Universal Data'!$E$14:$V$14, 0)))</f>
        <v>-</v>
      </c>
      <c r="F35" s="1159" t="str">
        <f>IF($A35&lt;DATE(2018,7,1),"-",INDEX('I1 - Universal Data'!$E$15:$V$15, MATCH(YEAR(EOMONTH($A35,6)), 'I1 - Universal Data'!$E$14:$V$14, 0)))</f>
        <v>-</v>
      </c>
      <c r="G35" s="1160">
        <f t="shared" si="3"/>
        <v>75</v>
      </c>
      <c r="H35" s="1160">
        <f t="shared" si="3"/>
        <v>174.6</v>
      </c>
      <c r="U35" s="1148"/>
    </row>
    <row r="36" spans="1:21">
      <c r="A36" s="1157">
        <f t="shared" si="2"/>
        <v>37195</v>
      </c>
      <c r="B36" s="1158">
        <f t="shared" si="0"/>
        <v>2002</v>
      </c>
      <c r="C36" s="1326">
        <v>74.900000000000006</v>
      </c>
      <c r="D36" s="1326">
        <v>174.3</v>
      </c>
      <c r="E36" s="1159" t="str">
        <f>IF($A36&lt;DATE(2018,7,1),"-",INDEX('I1 - Universal Data'!$E$16:$V$16, MATCH(YEAR(EOMONTH($A36,6)), 'I1 - Universal Data'!$E$14:$V$14, 0)))</f>
        <v>-</v>
      </c>
      <c r="F36" s="1159" t="str">
        <f>IF($A36&lt;DATE(2018,7,1),"-",INDEX('I1 - Universal Data'!$E$15:$V$15, MATCH(YEAR(EOMONTH($A36,6)), 'I1 - Universal Data'!$E$14:$V$14, 0)))</f>
        <v>-</v>
      </c>
      <c r="G36" s="1160">
        <f t="shared" si="3"/>
        <v>74.900000000000006</v>
      </c>
      <c r="H36" s="1160">
        <f t="shared" si="3"/>
        <v>174.3</v>
      </c>
      <c r="U36" s="1148"/>
    </row>
    <row r="37" spans="1:21">
      <c r="A37" s="1157">
        <f t="shared" si="2"/>
        <v>37225</v>
      </c>
      <c r="B37" s="1158">
        <f t="shared" si="0"/>
        <v>2002</v>
      </c>
      <c r="C37" s="1326">
        <v>74.900000000000006</v>
      </c>
      <c r="D37" s="1326">
        <v>173.6</v>
      </c>
      <c r="E37" s="1159" t="str">
        <f>IF($A37&lt;DATE(2018,7,1),"-",INDEX('I1 - Universal Data'!$E$16:$V$16, MATCH(YEAR(EOMONTH($A37,6)), 'I1 - Universal Data'!$E$14:$V$14, 0)))</f>
        <v>-</v>
      </c>
      <c r="F37" s="1159" t="str">
        <f>IF($A37&lt;DATE(2018,7,1),"-",INDEX('I1 - Universal Data'!$E$15:$V$15, MATCH(YEAR(EOMONTH($A37,6)), 'I1 - Universal Data'!$E$14:$V$14, 0)))</f>
        <v>-</v>
      </c>
      <c r="G37" s="1160">
        <f t="shared" si="3"/>
        <v>74.900000000000006</v>
      </c>
      <c r="H37" s="1160">
        <f t="shared" si="3"/>
        <v>173.6</v>
      </c>
      <c r="U37" s="1148"/>
    </row>
    <row r="38" spans="1:21">
      <c r="A38" s="1157">
        <f t="shared" si="2"/>
        <v>37256</v>
      </c>
      <c r="B38" s="1158">
        <f t="shared" si="0"/>
        <v>2002</v>
      </c>
      <c r="C38" s="1326">
        <v>75</v>
      </c>
      <c r="D38" s="1326">
        <v>173.4</v>
      </c>
      <c r="E38" s="1159" t="str">
        <f>IF($A38&lt;DATE(2018,7,1),"-",INDEX('I1 - Universal Data'!$E$16:$V$16, MATCH(YEAR(EOMONTH($A38,6)), 'I1 - Universal Data'!$E$14:$V$14, 0)))</f>
        <v>-</v>
      </c>
      <c r="F38" s="1159" t="str">
        <f>IF($A38&lt;DATE(2018,7,1),"-",INDEX('I1 - Universal Data'!$E$15:$V$15, MATCH(YEAR(EOMONTH($A38,6)), 'I1 - Universal Data'!$E$14:$V$14, 0)))</f>
        <v>-</v>
      </c>
      <c r="G38" s="1160">
        <f t="shared" ref="G38:H53" si="4">IF(ISBLANK(C38),G37*((1+E38)^(1/12)),C38)</f>
        <v>75</v>
      </c>
      <c r="H38" s="1160">
        <f t="shared" si="4"/>
        <v>173.4</v>
      </c>
      <c r="U38" s="1148"/>
    </row>
    <row r="39" spans="1:21">
      <c r="A39" s="1157">
        <f t="shared" si="2"/>
        <v>37287</v>
      </c>
      <c r="B39" s="1158">
        <f t="shared" si="0"/>
        <v>2002</v>
      </c>
      <c r="C39" s="1326">
        <v>74.8</v>
      </c>
      <c r="D39" s="1326">
        <v>173.3</v>
      </c>
      <c r="E39" s="1159" t="str">
        <f>IF($A39&lt;DATE(2018,7,1),"-",INDEX('I1 - Universal Data'!$E$16:$V$16, MATCH(YEAR(EOMONTH($A39,6)), 'I1 - Universal Data'!$E$14:$V$14, 0)))</f>
        <v>-</v>
      </c>
      <c r="F39" s="1159" t="str">
        <f>IF($A39&lt;DATE(2018,7,1),"-",INDEX('I1 - Universal Data'!$E$15:$V$15, MATCH(YEAR(EOMONTH($A39,6)), 'I1 - Universal Data'!$E$14:$V$14, 0)))</f>
        <v>-</v>
      </c>
      <c r="G39" s="1160">
        <f t="shared" si="4"/>
        <v>74.8</v>
      </c>
      <c r="H39" s="1160">
        <f t="shared" si="4"/>
        <v>173.3</v>
      </c>
      <c r="U39" s="1148"/>
    </row>
    <row r="40" spans="1:21">
      <c r="A40" s="1157">
        <f t="shared" si="2"/>
        <v>37315</v>
      </c>
      <c r="B40" s="1158">
        <f t="shared" si="0"/>
        <v>2002</v>
      </c>
      <c r="C40" s="1326">
        <v>75</v>
      </c>
      <c r="D40" s="1326">
        <v>173.8</v>
      </c>
      <c r="E40" s="1159" t="str">
        <f>IF($A40&lt;DATE(2018,7,1),"-",INDEX('I1 - Universal Data'!$E$16:$V$16, MATCH(YEAR(EOMONTH($A40,6)), 'I1 - Universal Data'!$E$14:$V$14, 0)))</f>
        <v>-</v>
      </c>
      <c r="F40" s="1159" t="str">
        <f>IF($A40&lt;DATE(2018,7,1),"-",INDEX('I1 - Universal Data'!$E$15:$V$15, MATCH(YEAR(EOMONTH($A40,6)), 'I1 - Universal Data'!$E$14:$V$14, 0)))</f>
        <v>-</v>
      </c>
      <c r="G40" s="1160">
        <f t="shared" si="4"/>
        <v>75</v>
      </c>
      <c r="H40" s="1160">
        <f t="shared" si="4"/>
        <v>173.8</v>
      </c>
      <c r="U40" s="1148"/>
    </row>
    <row r="41" spans="1:21">
      <c r="A41" s="1157">
        <f t="shared" si="2"/>
        <v>37346</v>
      </c>
      <c r="B41" s="1158">
        <f t="shared" si="0"/>
        <v>2002</v>
      </c>
      <c r="C41" s="1326">
        <v>75.2</v>
      </c>
      <c r="D41" s="1326">
        <v>174.5</v>
      </c>
      <c r="E41" s="1159" t="str">
        <f>IF($A41&lt;DATE(2018,7,1),"-",INDEX('I1 - Universal Data'!$E$16:$V$16, MATCH(YEAR(EOMONTH($A41,6)), 'I1 - Universal Data'!$E$14:$V$14, 0)))</f>
        <v>-</v>
      </c>
      <c r="F41" s="1159" t="str">
        <f>IF($A41&lt;DATE(2018,7,1),"-",INDEX('I1 - Universal Data'!$E$15:$V$15, MATCH(YEAR(EOMONTH($A41,6)), 'I1 - Universal Data'!$E$14:$V$14, 0)))</f>
        <v>-</v>
      </c>
      <c r="G41" s="1160">
        <f t="shared" si="4"/>
        <v>75.2</v>
      </c>
      <c r="H41" s="1160">
        <f t="shared" si="4"/>
        <v>174.5</v>
      </c>
      <c r="U41" s="1148"/>
    </row>
    <row r="42" spans="1:21">
      <c r="A42" s="1157">
        <f t="shared" si="2"/>
        <v>37376</v>
      </c>
      <c r="B42" s="1158">
        <f t="shared" si="0"/>
        <v>2003</v>
      </c>
      <c r="C42" s="1326">
        <v>75.599999999999994</v>
      </c>
      <c r="D42" s="1326">
        <v>175.7</v>
      </c>
      <c r="E42" s="1159" t="str">
        <f>IF($A42&lt;DATE(2018,7,1),"-",INDEX('I1 - Universal Data'!$E$16:$V$16, MATCH(YEAR(EOMONTH($A42,6)), 'I1 - Universal Data'!$E$14:$V$14, 0)))</f>
        <v>-</v>
      </c>
      <c r="F42" s="1159" t="str">
        <f>IF($A42&lt;DATE(2018,7,1),"-",INDEX('I1 - Universal Data'!$E$15:$V$15, MATCH(YEAR(EOMONTH($A42,6)), 'I1 - Universal Data'!$E$14:$V$14, 0)))</f>
        <v>-</v>
      </c>
      <c r="G42" s="1160">
        <f t="shared" si="4"/>
        <v>75.599999999999994</v>
      </c>
      <c r="H42" s="1160">
        <f t="shared" si="4"/>
        <v>175.7</v>
      </c>
      <c r="U42" s="1148"/>
    </row>
    <row r="43" spans="1:21">
      <c r="A43" s="1157">
        <f t="shared" si="2"/>
        <v>37407</v>
      </c>
      <c r="B43" s="1158">
        <f t="shared" si="0"/>
        <v>2003</v>
      </c>
      <c r="C43" s="1326">
        <v>75.8</v>
      </c>
      <c r="D43" s="1326">
        <v>176.2</v>
      </c>
      <c r="E43" s="1159" t="str">
        <f>IF($A43&lt;DATE(2018,7,1),"-",INDEX('I1 - Universal Data'!$E$16:$V$16, MATCH(YEAR(EOMONTH($A43,6)), 'I1 - Universal Data'!$E$14:$V$14, 0)))</f>
        <v>-</v>
      </c>
      <c r="F43" s="1159" t="str">
        <f>IF($A43&lt;DATE(2018,7,1),"-",INDEX('I1 - Universal Data'!$E$15:$V$15, MATCH(YEAR(EOMONTH($A43,6)), 'I1 - Universal Data'!$E$14:$V$14, 0)))</f>
        <v>-</v>
      </c>
      <c r="G43" s="1160">
        <f t="shared" si="4"/>
        <v>75.8</v>
      </c>
      <c r="H43" s="1160">
        <f t="shared" si="4"/>
        <v>176.2</v>
      </c>
      <c r="U43" s="1148"/>
    </row>
    <row r="44" spans="1:21">
      <c r="A44" s="1157">
        <f t="shared" si="2"/>
        <v>37437</v>
      </c>
      <c r="B44" s="1158">
        <f t="shared" si="0"/>
        <v>2003</v>
      </c>
      <c r="C44" s="1326">
        <v>75.8</v>
      </c>
      <c r="D44" s="1326">
        <v>176.2</v>
      </c>
      <c r="E44" s="1159" t="str">
        <f>IF($A44&lt;DATE(2018,7,1),"-",INDEX('I1 - Universal Data'!$E$16:$V$16, MATCH(YEAR(EOMONTH($A44,6)), 'I1 - Universal Data'!$E$14:$V$14, 0)))</f>
        <v>-</v>
      </c>
      <c r="F44" s="1159" t="str">
        <f>IF($A44&lt;DATE(2018,7,1),"-",INDEX('I1 - Universal Data'!$E$15:$V$15, MATCH(YEAR(EOMONTH($A44,6)), 'I1 - Universal Data'!$E$14:$V$14, 0)))</f>
        <v>-</v>
      </c>
      <c r="G44" s="1160">
        <f t="shared" si="4"/>
        <v>75.8</v>
      </c>
      <c r="H44" s="1160">
        <f t="shared" si="4"/>
        <v>176.2</v>
      </c>
      <c r="U44" s="1148"/>
    </row>
    <row r="45" spans="1:21">
      <c r="A45" s="1157">
        <f t="shared" si="2"/>
        <v>37468</v>
      </c>
      <c r="B45" s="1158">
        <f t="shared" si="0"/>
        <v>2003</v>
      </c>
      <c r="C45" s="1326">
        <v>75.599999999999994</v>
      </c>
      <c r="D45" s="1326">
        <v>175.9</v>
      </c>
      <c r="E45" s="1159" t="str">
        <f>IF($A45&lt;DATE(2018,7,1),"-",INDEX('I1 - Universal Data'!$E$16:$V$16, MATCH(YEAR(EOMONTH($A45,6)), 'I1 - Universal Data'!$E$14:$V$14, 0)))</f>
        <v>-</v>
      </c>
      <c r="F45" s="1159" t="str">
        <f>IF($A45&lt;DATE(2018,7,1),"-",INDEX('I1 - Universal Data'!$E$15:$V$15, MATCH(YEAR(EOMONTH($A45,6)), 'I1 - Universal Data'!$E$14:$V$14, 0)))</f>
        <v>-</v>
      </c>
      <c r="G45" s="1160">
        <f t="shared" si="4"/>
        <v>75.599999999999994</v>
      </c>
      <c r="H45" s="1160">
        <f t="shared" si="4"/>
        <v>175.9</v>
      </c>
      <c r="U45" s="1148"/>
    </row>
    <row r="46" spans="1:21">
      <c r="A46" s="1157">
        <f t="shared" si="2"/>
        <v>37499</v>
      </c>
      <c r="B46" s="1158">
        <f t="shared" si="0"/>
        <v>2003</v>
      </c>
      <c r="C46" s="1326">
        <v>75.8</v>
      </c>
      <c r="D46" s="1326">
        <v>176.4</v>
      </c>
      <c r="E46" s="1159" t="str">
        <f>IF($A46&lt;DATE(2018,7,1),"-",INDEX('I1 - Universal Data'!$E$16:$V$16, MATCH(YEAR(EOMONTH($A46,6)), 'I1 - Universal Data'!$E$14:$V$14, 0)))</f>
        <v>-</v>
      </c>
      <c r="F46" s="1159" t="str">
        <f>IF($A46&lt;DATE(2018,7,1),"-",INDEX('I1 - Universal Data'!$E$15:$V$15, MATCH(YEAR(EOMONTH($A46,6)), 'I1 - Universal Data'!$E$14:$V$14, 0)))</f>
        <v>-</v>
      </c>
      <c r="G46" s="1160">
        <f t="shared" si="4"/>
        <v>75.8</v>
      </c>
      <c r="H46" s="1160">
        <f t="shared" si="4"/>
        <v>176.4</v>
      </c>
      <c r="U46" s="1148"/>
    </row>
    <row r="47" spans="1:21">
      <c r="A47" s="1157">
        <f t="shared" si="2"/>
        <v>37529</v>
      </c>
      <c r="B47" s="1158">
        <f t="shared" si="0"/>
        <v>2003</v>
      </c>
      <c r="C47" s="1326">
        <v>76</v>
      </c>
      <c r="D47" s="1326">
        <v>177.6</v>
      </c>
      <c r="E47" s="1159" t="str">
        <f>IF($A47&lt;DATE(2018,7,1),"-",INDEX('I1 - Universal Data'!$E$16:$V$16, MATCH(YEAR(EOMONTH($A47,6)), 'I1 - Universal Data'!$E$14:$V$14, 0)))</f>
        <v>-</v>
      </c>
      <c r="F47" s="1159" t="str">
        <f>IF($A47&lt;DATE(2018,7,1),"-",INDEX('I1 - Universal Data'!$E$15:$V$15, MATCH(YEAR(EOMONTH($A47,6)), 'I1 - Universal Data'!$E$14:$V$14, 0)))</f>
        <v>-</v>
      </c>
      <c r="G47" s="1160">
        <f t="shared" si="4"/>
        <v>76</v>
      </c>
      <c r="H47" s="1160">
        <f t="shared" si="4"/>
        <v>177.6</v>
      </c>
      <c r="U47" s="1148"/>
    </row>
    <row r="48" spans="1:21">
      <c r="A48" s="1157">
        <f t="shared" si="2"/>
        <v>37560</v>
      </c>
      <c r="B48" s="1158">
        <f t="shared" si="0"/>
        <v>2003</v>
      </c>
      <c r="C48" s="1326">
        <v>76.099999999999994</v>
      </c>
      <c r="D48" s="1326">
        <v>177.9</v>
      </c>
      <c r="E48" s="1159" t="str">
        <f>IF($A48&lt;DATE(2018,7,1),"-",INDEX('I1 - Universal Data'!$E$16:$V$16, MATCH(YEAR(EOMONTH($A48,6)), 'I1 - Universal Data'!$E$14:$V$14, 0)))</f>
        <v>-</v>
      </c>
      <c r="F48" s="1159" t="str">
        <f>IF($A48&lt;DATE(2018,7,1),"-",INDEX('I1 - Universal Data'!$E$15:$V$15, MATCH(YEAR(EOMONTH($A48,6)), 'I1 - Universal Data'!$E$14:$V$14, 0)))</f>
        <v>-</v>
      </c>
      <c r="G48" s="1160">
        <f t="shared" si="4"/>
        <v>76.099999999999994</v>
      </c>
      <c r="H48" s="1160">
        <f t="shared" si="4"/>
        <v>177.9</v>
      </c>
      <c r="U48" s="1148"/>
    </row>
    <row r="49" spans="1:21">
      <c r="A49" s="1157">
        <f t="shared" si="2"/>
        <v>37590</v>
      </c>
      <c r="B49" s="1158">
        <f t="shared" si="0"/>
        <v>2003</v>
      </c>
      <c r="C49" s="1326">
        <v>76.099999999999994</v>
      </c>
      <c r="D49" s="1326">
        <v>178.2</v>
      </c>
      <c r="E49" s="1159" t="str">
        <f>IF($A49&lt;DATE(2018,7,1),"-",INDEX('I1 - Universal Data'!$E$16:$V$16, MATCH(YEAR(EOMONTH($A49,6)), 'I1 - Universal Data'!$E$14:$V$14, 0)))</f>
        <v>-</v>
      </c>
      <c r="F49" s="1159" t="str">
        <f>IF($A49&lt;DATE(2018,7,1),"-",INDEX('I1 - Universal Data'!$E$15:$V$15, MATCH(YEAR(EOMONTH($A49,6)), 'I1 - Universal Data'!$E$14:$V$14, 0)))</f>
        <v>-</v>
      </c>
      <c r="G49" s="1160">
        <f t="shared" si="4"/>
        <v>76.099999999999994</v>
      </c>
      <c r="H49" s="1160">
        <f t="shared" si="4"/>
        <v>178.2</v>
      </c>
      <c r="U49" s="1148"/>
    </row>
    <row r="50" spans="1:21">
      <c r="A50" s="1157">
        <f t="shared" si="2"/>
        <v>37621</v>
      </c>
      <c r="B50" s="1158">
        <f t="shared" si="0"/>
        <v>2003</v>
      </c>
      <c r="C50" s="1326">
        <v>76.3</v>
      </c>
      <c r="D50" s="1326">
        <v>178.5</v>
      </c>
      <c r="E50" s="1159" t="str">
        <f>IF($A50&lt;DATE(2018,7,1),"-",INDEX('I1 - Universal Data'!$E$16:$V$16, MATCH(YEAR(EOMONTH($A50,6)), 'I1 - Universal Data'!$E$14:$V$14, 0)))</f>
        <v>-</v>
      </c>
      <c r="F50" s="1159" t="str">
        <f>IF($A50&lt;DATE(2018,7,1),"-",INDEX('I1 - Universal Data'!$E$15:$V$15, MATCH(YEAR(EOMONTH($A50,6)), 'I1 - Universal Data'!$E$14:$V$14, 0)))</f>
        <v>-</v>
      </c>
      <c r="G50" s="1160">
        <f t="shared" si="4"/>
        <v>76.3</v>
      </c>
      <c r="H50" s="1160">
        <f t="shared" si="4"/>
        <v>178.5</v>
      </c>
      <c r="U50" s="1148"/>
    </row>
    <row r="51" spans="1:21">
      <c r="A51" s="1157">
        <f t="shared" si="2"/>
        <v>37652</v>
      </c>
      <c r="B51" s="1158">
        <f t="shared" si="0"/>
        <v>2003</v>
      </c>
      <c r="C51" s="1326">
        <v>75.900000000000006</v>
      </c>
      <c r="D51" s="1326">
        <v>178.4</v>
      </c>
      <c r="E51" s="1159" t="str">
        <f>IF($A51&lt;DATE(2018,7,1),"-",INDEX('I1 - Universal Data'!$E$16:$V$16, MATCH(YEAR(EOMONTH($A51,6)), 'I1 - Universal Data'!$E$14:$V$14, 0)))</f>
        <v>-</v>
      </c>
      <c r="F51" s="1159" t="str">
        <f>IF($A51&lt;DATE(2018,7,1),"-",INDEX('I1 - Universal Data'!$E$15:$V$15, MATCH(YEAR(EOMONTH($A51,6)), 'I1 - Universal Data'!$E$14:$V$14, 0)))</f>
        <v>-</v>
      </c>
      <c r="G51" s="1160">
        <f t="shared" si="4"/>
        <v>75.900000000000006</v>
      </c>
      <c r="H51" s="1160">
        <f t="shared" si="4"/>
        <v>178.4</v>
      </c>
      <c r="U51" s="1148"/>
    </row>
    <row r="52" spans="1:21">
      <c r="A52" s="1157">
        <f t="shared" si="2"/>
        <v>37680</v>
      </c>
      <c r="B52" s="1158">
        <f t="shared" si="0"/>
        <v>2003</v>
      </c>
      <c r="C52" s="1326">
        <v>76.099999999999994</v>
      </c>
      <c r="D52" s="1326">
        <v>179.3</v>
      </c>
      <c r="E52" s="1159" t="str">
        <f>IF($A52&lt;DATE(2018,7,1),"-",INDEX('I1 - Universal Data'!$E$16:$V$16, MATCH(YEAR(EOMONTH($A52,6)), 'I1 - Universal Data'!$E$14:$V$14, 0)))</f>
        <v>-</v>
      </c>
      <c r="F52" s="1159" t="str">
        <f>IF($A52&lt;DATE(2018,7,1),"-",INDEX('I1 - Universal Data'!$E$15:$V$15, MATCH(YEAR(EOMONTH($A52,6)), 'I1 - Universal Data'!$E$14:$V$14, 0)))</f>
        <v>-</v>
      </c>
      <c r="G52" s="1160">
        <f t="shared" si="4"/>
        <v>76.099999999999994</v>
      </c>
      <c r="H52" s="1160">
        <f t="shared" si="4"/>
        <v>179.3</v>
      </c>
      <c r="U52" s="1148"/>
    </row>
    <row r="53" spans="1:21">
      <c r="A53" s="1157">
        <f t="shared" si="2"/>
        <v>37711</v>
      </c>
      <c r="B53" s="1158">
        <f t="shared" si="0"/>
        <v>2003</v>
      </c>
      <c r="C53" s="1326">
        <v>76.400000000000006</v>
      </c>
      <c r="D53" s="1326">
        <v>179.9</v>
      </c>
      <c r="E53" s="1159" t="str">
        <f>IF($A53&lt;DATE(2018,7,1),"-",INDEX('I1 - Universal Data'!$E$16:$V$16, MATCH(YEAR(EOMONTH($A53,6)), 'I1 - Universal Data'!$E$14:$V$14, 0)))</f>
        <v>-</v>
      </c>
      <c r="F53" s="1159" t="str">
        <f>IF($A53&lt;DATE(2018,7,1),"-",INDEX('I1 - Universal Data'!$E$15:$V$15, MATCH(YEAR(EOMONTH($A53,6)), 'I1 - Universal Data'!$E$14:$V$14, 0)))</f>
        <v>-</v>
      </c>
      <c r="G53" s="1160">
        <f t="shared" si="4"/>
        <v>76.400000000000006</v>
      </c>
      <c r="H53" s="1160">
        <f t="shared" si="4"/>
        <v>179.9</v>
      </c>
      <c r="U53" s="1148"/>
    </row>
    <row r="54" spans="1:21">
      <c r="A54" s="1157">
        <f t="shared" si="2"/>
        <v>37741</v>
      </c>
      <c r="B54" s="1158">
        <f t="shared" si="0"/>
        <v>2004</v>
      </c>
      <c r="C54" s="1326">
        <v>76.8</v>
      </c>
      <c r="D54" s="1326">
        <v>181.2</v>
      </c>
      <c r="E54" s="1159" t="str">
        <f>IF($A54&lt;DATE(2018,7,1),"-",INDEX('I1 - Universal Data'!$E$16:$V$16, MATCH(YEAR(EOMONTH($A54,6)), 'I1 - Universal Data'!$E$14:$V$14, 0)))</f>
        <v>-</v>
      </c>
      <c r="F54" s="1159" t="str">
        <f>IF($A54&lt;DATE(2018,7,1),"-",INDEX('I1 - Universal Data'!$E$15:$V$15, MATCH(YEAR(EOMONTH($A54,6)), 'I1 - Universal Data'!$E$14:$V$14, 0)))</f>
        <v>-</v>
      </c>
      <c r="G54" s="1160">
        <f t="shared" ref="G54:H69" si="5">IF(ISBLANK(C54),G53*((1+E54)^(1/12)),C54)</f>
        <v>76.8</v>
      </c>
      <c r="H54" s="1160">
        <f t="shared" si="5"/>
        <v>181.2</v>
      </c>
      <c r="U54" s="1148"/>
    </row>
    <row r="55" spans="1:21">
      <c r="A55" s="1157">
        <f t="shared" si="2"/>
        <v>37772</v>
      </c>
      <c r="B55" s="1158">
        <f t="shared" si="0"/>
        <v>2004</v>
      </c>
      <c r="C55" s="1326">
        <v>76.8</v>
      </c>
      <c r="D55" s="1326">
        <v>181.5</v>
      </c>
      <c r="E55" s="1159" t="str">
        <f>IF($A55&lt;DATE(2018,7,1),"-",INDEX('I1 - Universal Data'!$E$16:$V$16, MATCH(YEAR(EOMONTH($A55,6)), 'I1 - Universal Data'!$E$14:$V$14, 0)))</f>
        <v>-</v>
      </c>
      <c r="F55" s="1159" t="str">
        <f>IF($A55&lt;DATE(2018,7,1),"-",INDEX('I1 - Universal Data'!$E$15:$V$15, MATCH(YEAR(EOMONTH($A55,6)), 'I1 - Universal Data'!$E$14:$V$14, 0)))</f>
        <v>-</v>
      </c>
      <c r="G55" s="1160">
        <f t="shared" si="5"/>
        <v>76.8</v>
      </c>
      <c r="H55" s="1160">
        <f t="shared" si="5"/>
        <v>181.5</v>
      </c>
      <c r="U55" s="1148"/>
    </row>
    <row r="56" spans="1:21">
      <c r="A56" s="1157">
        <f t="shared" si="2"/>
        <v>37802</v>
      </c>
      <c r="B56" s="1158">
        <f t="shared" si="0"/>
        <v>2004</v>
      </c>
      <c r="C56" s="1326">
        <v>76.7</v>
      </c>
      <c r="D56" s="1326">
        <v>181.3</v>
      </c>
      <c r="E56" s="1159" t="str">
        <f>IF($A56&lt;DATE(2018,7,1),"-",INDEX('I1 - Universal Data'!$E$16:$V$16, MATCH(YEAR(EOMONTH($A56,6)), 'I1 - Universal Data'!$E$14:$V$14, 0)))</f>
        <v>-</v>
      </c>
      <c r="F56" s="1159" t="str">
        <f>IF($A56&lt;DATE(2018,7,1),"-",INDEX('I1 - Universal Data'!$E$15:$V$15, MATCH(YEAR(EOMONTH($A56,6)), 'I1 - Universal Data'!$E$14:$V$14, 0)))</f>
        <v>-</v>
      </c>
      <c r="G56" s="1160">
        <f t="shared" si="5"/>
        <v>76.7</v>
      </c>
      <c r="H56" s="1160">
        <f t="shared" si="5"/>
        <v>181.3</v>
      </c>
      <c r="U56" s="1148"/>
    </row>
    <row r="57" spans="1:21">
      <c r="A57" s="1157">
        <f t="shared" si="2"/>
        <v>37833</v>
      </c>
      <c r="B57" s="1158">
        <f t="shared" si="0"/>
        <v>2004</v>
      </c>
      <c r="C57" s="1326">
        <v>76.599999999999994</v>
      </c>
      <c r="D57" s="1326">
        <v>181.3</v>
      </c>
      <c r="E57" s="1159" t="str">
        <f>IF($A57&lt;DATE(2018,7,1),"-",INDEX('I1 - Universal Data'!$E$16:$V$16, MATCH(YEAR(EOMONTH($A57,6)), 'I1 - Universal Data'!$E$14:$V$14, 0)))</f>
        <v>-</v>
      </c>
      <c r="F57" s="1159" t="str">
        <f>IF($A57&lt;DATE(2018,7,1),"-",INDEX('I1 - Universal Data'!$E$15:$V$15, MATCH(YEAR(EOMONTH($A57,6)), 'I1 - Universal Data'!$E$14:$V$14, 0)))</f>
        <v>-</v>
      </c>
      <c r="G57" s="1160">
        <f t="shared" si="5"/>
        <v>76.599999999999994</v>
      </c>
      <c r="H57" s="1160">
        <f t="shared" si="5"/>
        <v>181.3</v>
      </c>
      <c r="U57" s="1148"/>
    </row>
    <row r="58" spans="1:21">
      <c r="A58" s="1157">
        <f t="shared" si="2"/>
        <v>37864</v>
      </c>
      <c r="B58" s="1158">
        <f t="shared" si="0"/>
        <v>2004</v>
      </c>
      <c r="C58" s="1326">
        <v>76.8</v>
      </c>
      <c r="D58" s="1326">
        <v>181.6</v>
      </c>
      <c r="E58" s="1159" t="str">
        <f>IF($A58&lt;DATE(2018,7,1),"-",INDEX('I1 - Universal Data'!$E$16:$V$16, MATCH(YEAR(EOMONTH($A58,6)), 'I1 - Universal Data'!$E$14:$V$14, 0)))</f>
        <v>-</v>
      </c>
      <c r="F58" s="1159" t="str">
        <f>IF($A58&lt;DATE(2018,7,1),"-",INDEX('I1 - Universal Data'!$E$15:$V$15, MATCH(YEAR(EOMONTH($A58,6)), 'I1 - Universal Data'!$E$14:$V$14, 0)))</f>
        <v>-</v>
      </c>
      <c r="G58" s="1160">
        <f t="shared" si="5"/>
        <v>76.8</v>
      </c>
      <c r="H58" s="1160">
        <f t="shared" si="5"/>
        <v>181.6</v>
      </c>
      <c r="U58" s="1148"/>
    </row>
    <row r="59" spans="1:21">
      <c r="A59" s="1157">
        <f t="shared" si="2"/>
        <v>37894</v>
      </c>
      <c r="B59" s="1158">
        <f t="shared" si="0"/>
        <v>2004</v>
      </c>
      <c r="C59" s="1326">
        <v>77</v>
      </c>
      <c r="D59" s="1326">
        <v>182.5</v>
      </c>
      <c r="E59" s="1159" t="str">
        <f>IF($A59&lt;DATE(2018,7,1),"-",INDEX('I1 - Universal Data'!$E$16:$V$16, MATCH(YEAR(EOMONTH($A59,6)), 'I1 - Universal Data'!$E$14:$V$14, 0)))</f>
        <v>-</v>
      </c>
      <c r="F59" s="1159" t="str">
        <f>IF($A59&lt;DATE(2018,7,1),"-",INDEX('I1 - Universal Data'!$E$15:$V$15, MATCH(YEAR(EOMONTH($A59,6)), 'I1 - Universal Data'!$E$14:$V$14, 0)))</f>
        <v>-</v>
      </c>
      <c r="G59" s="1160">
        <f t="shared" si="5"/>
        <v>77</v>
      </c>
      <c r="H59" s="1160">
        <f t="shared" si="5"/>
        <v>182.5</v>
      </c>
      <c r="U59" s="1148"/>
    </row>
    <row r="60" spans="1:21">
      <c r="A60" s="1157">
        <f t="shared" si="2"/>
        <v>37925</v>
      </c>
      <c r="B60" s="1158">
        <f t="shared" si="0"/>
        <v>2004</v>
      </c>
      <c r="C60" s="1326">
        <v>77.099999999999994</v>
      </c>
      <c r="D60" s="1326">
        <v>182.6</v>
      </c>
      <c r="E60" s="1159" t="str">
        <f>IF($A60&lt;DATE(2018,7,1),"-",INDEX('I1 - Universal Data'!$E$16:$V$16, MATCH(YEAR(EOMONTH($A60,6)), 'I1 - Universal Data'!$E$14:$V$14, 0)))</f>
        <v>-</v>
      </c>
      <c r="F60" s="1159" t="str">
        <f>IF($A60&lt;DATE(2018,7,1),"-",INDEX('I1 - Universal Data'!$E$15:$V$15, MATCH(YEAR(EOMONTH($A60,6)), 'I1 - Universal Data'!$E$14:$V$14, 0)))</f>
        <v>-</v>
      </c>
      <c r="G60" s="1160">
        <f t="shared" si="5"/>
        <v>77.099999999999994</v>
      </c>
      <c r="H60" s="1160">
        <f t="shared" si="5"/>
        <v>182.6</v>
      </c>
      <c r="U60" s="1148"/>
    </row>
    <row r="61" spans="1:21">
      <c r="A61" s="1157">
        <f t="shared" si="2"/>
        <v>37955</v>
      </c>
      <c r="B61" s="1158">
        <f t="shared" si="0"/>
        <v>2004</v>
      </c>
      <c r="C61" s="1326">
        <v>77.099999999999994</v>
      </c>
      <c r="D61" s="1326">
        <v>182.7</v>
      </c>
      <c r="E61" s="1159" t="str">
        <f>IF($A61&lt;DATE(2018,7,1),"-",INDEX('I1 - Universal Data'!$E$16:$V$16, MATCH(YEAR(EOMONTH($A61,6)), 'I1 - Universal Data'!$E$14:$V$14, 0)))</f>
        <v>-</v>
      </c>
      <c r="F61" s="1159" t="str">
        <f>IF($A61&lt;DATE(2018,7,1),"-",INDEX('I1 - Universal Data'!$E$15:$V$15, MATCH(YEAR(EOMONTH($A61,6)), 'I1 - Universal Data'!$E$14:$V$14, 0)))</f>
        <v>-</v>
      </c>
      <c r="G61" s="1160">
        <f t="shared" si="5"/>
        <v>77.099999999999994</v>
      </c>
      <c r="H61" s="1160">
        <f t="shared" si="5"/>
        <v>182.7</v>
      </c>
      <c r="U61" s="1148"/>
    </row>
    <row r="62" spans="1:21">
      <c r="A62" s="1157">
        <f t="shared" si="2"/>
        <v>37986</v>
      </c>
      <c r="B62" s="1158">
        <f t="shared" si="0"/>
        <v>2004</v>
      </c>
      <c r="C62" s="1326">
        <v>77.3</v>
      </c>
      <c r="D62" s="1326">
        <v>183.5</v>
      </c>
      <c r="E62" s="1159" t="str">
        <f>IF($A62&lt;DATE(2018,7,1),"-",INDEX('I1 - Universal Data'!$E$16:$V$16, MATCH(YEAR(EOMONTH($A62,6)), 'I1 - Universal Data'!$E$14:$V$14, 0)))</f>
        <v>-</v>
      </c>
      <c r="F62" s="1159" t="str">
        <f>IF($A62&lt;DATE(2018,7,1),"-",INDEX('I1 - Universal Data'!$E$15:$V$15, MATCH(YEAR(EOMONTH($A62,6)), 'I1 - Universal Data'!$E$14:$V$14, 0)))</f>
        <v>-</v>
      </c>
      <c r="G62" s="1160">
        <f t="shared" si="5"/>
        <v>77.3</v>
      </c>
      <c r="H62" s="1160">
        <f t="shared" si="5"/>
        <v>183.5</v>
      </c>
      <c r="U62" s="1148"/>
    </row>
    <row r="63" spans="1:21">
      <c r="A63" s="1157">
        <f t="shared" si="2"/>
        <v>38017</v>
      </c>
      <c r="B63" s="1158">
        <f t="shared" si="0"/>
        <v>2004</v>
      </c>
      <c r="C63" s="1326">
        <v>77</v>
      </c>
      <c r="D63" s="1326">
        <v>183.1</v>
      </c>
      <c r="E63" s="1159" t="str">
        <f>IF($A63&lt;DATE(2018,7,1),"-",INDEX('I1 - Universal Data'!$E$16:$V$16, MATCH(YEAR(EOMONTH($A63,6)), 'I1 - Universal Data'!$E$14:$V$14, 0)))</f>
        <v>-</v>
      </c>
      <c r="F63" s="1159" t="str">
        <f>IF($A63&lt;DATE(2018,7,1),"-",INDEX('I1 - Universal Data'!$E$15:$V$15, MATCH(YEAR(EOMONTH($A63,6)), 'I1 - Universal Data'!$E$14:$V$14, 0)))</f>
        <v>-</v>
      </c>
      <c r="G63" s="1160">
        <f t="shared" si="5"/>
        <v>77</v>
      </c>
      <c r="H63" s="1160">
        <f t="shared" si="5"/>
        <v>183.1</v>
      </c>
      <c r="U63" s="1148"/>
    </row>
    <row r="64" spans="1:21">
      <c r="A64" s="1157">
        <f t="shared" si="2"/>
        <v>38046</v>
      </c>
      <c r="B64" s="1158">
        <f t="shared" si="0"/>
        <v>2004</v>
      </c>
      <c r="C64" s="1326">
        <v>77.2</v>
      </c>
      <c r="D64" s="1326">
        <v>183.8</v>
      </c>
      <c r="E64" s="1159" t="str">
        <f>IF($A64&lt;DATE(2018,7,1),"-",INDEX('I1 - Universal Data'!$E$16:$V$16, MATCH(YEAR(EOMONTH($A64,6)), 'I1 - Universal Data'!$E$14:$V$14, 0)))</f>
        <v>-</v>
      </c>
      <c r="F64" s="1159" t="str">
        <f>IF($A64&lt;DATE(2018,7,1),"-",INDEX('I1 - Universal Data'!$E$15:$V$15, MATCH(YEAR(EOMONTH($A64,6)), 'I1 - Universal Data'!$E$14:$V$14, 0)))</f>
        <v>-</v>
      </c>
      <c r="G64" s="1160">
        <f t="shared" si="5"/>
        <v>77.2</v>
      </c>
      <c r="H64" s="1160">
        <f t="shared" si="5"/>
        <v>183.8</v>
      </c>
      <c r="U64" s="1148"/>
    </row>
    <row r="65" spans="1:21">
      <c r="A65" s="1157">
        <f t="shared" si="2"/>
        <v>38077</v>
      </c>
      <c r="B65" s="1158">
        <f t="shared" si="0"/>
        <v>2004</v>
      </c>
      <c r="C65" s="1326">
        <v>77.3</v>
      </c>
      <c r="D65" s="1326">
        <v>184.6</v>
      </c>
      <c r="E65" s="1159" t="str">
        <f>IF($A65&lt;DATE(2018,7,1),"-",INDEX('I1 - Universal Data'!$E$16:$V$16, MATCH(YEAR(EOMONTH($A65,6)), 'I1 - Universal Data'!$E$14:$V$14, 0)))</f>
        <v>-</v>
      </c>
      <c r="F65" s="1159" t="str">
        <f>IF($A65&lt;DATE(2018,7,1),"-",INDEX('I1 - Universal Data'!$E$15:$V$15, MATCH(YEAR(EOMONTH($A65,6)), 'I1 - Universal Data'!$E$14:$V$14, 0)))</f>
        <v>-</v>
      </c>
      <c r="G65" s="1160">
        <f t="shared" si="5"/>
        <v>77.3</v>
      </c>
      <c r="H65" s="1160">
        <f t="shared" si="5"/>
        <v>184.6</v>
      </c>
      <c r="U65" s="1148"/>
    </row>
    <row r="66" spans="1:21">
      <c r="A66" s="1157">
        <f t="shared" si="2"/>
        <v>38107</v>
      </c>
      <c r="B66" s="1158">
        <f t="shared" si="0"/>
        <v>2005</v>
      </c>
      <c r="C66" s="1326">
        <v>77.599999999999994</v>
      </c>
      <c r="D66" s="1326">
        <v>185.7</v>
      </c>
      <c r="E66" s="1159" t="str">
        <f>IF($A66&lt;DATE(2018,7,1),"-",INDEX('I1 - Universal Data'!$E$16:$V$16, MATCH(YEAR(EOMONTH($A66,6)), 'I1 - Universal Data'!$E$14:$V$14, 0)))</f>
        <v>-</v>
      </c>
      <c r="F66" s="1159" t="str">
        <f>IF($A66&lt;DATE(2018,7,1),"-",INDEX('I1 - Universal Data'!$E$15:$V$15, MATCH(YEAR(EOMONTH($A66,6)), 'I1 - Universal Data'!$E$14:$V$14, 0)))</f>
        <v>-</v>
      </c>
      <c r="G66" s="1160">
        <f t="shared" si="5"/>
        <v>77.599999999999994</v>
      </c>
      <c r="H66" s="1160">
        <f t="shared" si="5"/>
        <v>185.7</v>
      </c>
      <c r="U66" s="1148"/>
    </row>
    <row r="67" spans="1:21">
      <c r="A67" s="1157">
        <f t="shared" si="2"/>
        <v>38138</v>
      </c>
      <c r="B67" s="1158">
        <f t="shared" si="0"/>
        <v>2005</v>
      </c>
      <c r="C67" s="1326">
        <v>77.900000000000006</v>
      </c>
      <c r="D67" s="1326">
        <v>186.5</v>
      </c>
      <c r="E67" s="1159" t="str">
        <f>IF($A67&lt;DATE(2018,7,1),"-",INDEX('I1 - Universal Data'!$E$16:$V$16, MATCH(YEAR(EOMONTH($A67,6)), 'I1 - Universal Data'!$E$14:$V$14, 0)))</f>
        <v>-</v>
      </c>
      <c r="F67" s="1159" t="str">
        <f>IF($A67&lt;DATE(2018,7,1),"-",INDEX('I1 - Universal Data'!$E$15:$V$15, MATCH(YEAR(EOMONTH($A67,6)), 'I1 - Universal Data'!$E$14:$V$14, 0)))</f>
        <v>-</v>
      </c>
      <c r="G67" s="1160">
        <f t="shared" si="5"/>
        <v>77.900000000000006</v>
      </c>
      <c r="H67" s="1160">
        <f t="shared" si="5"/>
        <v>186.5</v>
      </c>
      <c r="U67" s="1148"/>
    </row>
    <row r="68" spans="1:21">
      <c r="A68" s="1157">
        <f t="shared" si="2"/>
        <v>38168</v>
      </c>
      <c r="B68" s="1158">
        <f t="shared" si="0"/>
        <v>2005</v>
      </c>
      <c r="C68" s="1326">
        <v>77.900000000000006</v>
      </c>
      <c r="D68" s="1326">
        <v>186.8</v>
      </c>
      <c r="E68" s="1159" t="str">
        <f>IF($A68&lt;DATE(2018,7,1),"-",INDEX('I1 - Universal Data'!$E$16:$V$16, MATCH(YEAR(EOMONTH($A68,6)), 'I1 - Universal Data'!$E$14:$V$14, 0)))</f>
        <v>-</v>
      </c>
      <c r="F68" s="1159" t="str">
        <f>IF($A68&lt;DATE(2018,7,1),"-",INDEX('I1 - Universal Data'!$E$15:$V$15, MATCH(YEAR(EOMONTH($A68,6)), 'I1 - Universal Data'!$E$14:$V$14, 0)))</f>
        <v>-</v>
      </c>
      <c r="G68" s="1160">
        <f t="shared" si="5"/>
        <v>77.900000000000006</v>
      </c>
      <c r="H68" s="1160">
        <f t="shared" si="5"/>
        <v>186.8</v>
      </c>
      <c r="U68" s="1148"/>
    </row>
    <row r="69" spans="1:21">
      <c r="A69" s="1157">
        <f t="shared" si="2"/>
        <v>38199</v>
      </c>
      <c r="B69" s="1158">
        <f t="shared" si="0"/>
        <v>2005</v>
      </c>
      <c r="C69" s="1326">
        <v>77.7</v>
      </c>
      <c r="D69" s="1326">
        <v>186.8</v>
      </c>
      <c r="E69" s="1159" t="str">
        <f>IF($A69&lt;DATE(2018,7,1),"-",INDEX('I1 - Universal Data'!$E$16:$V$16, MATCH(YEAR(EOMONTH($A69,6)), 'I1 - Universal Data'!$E$14:$V$14, 0)))</f>
        <v>-</v>
      </c>
      <c r="F69" s="1159" t="str">
        <f>IF($A69&lt;DATE(2018,7,1),"-",INDEX('I1 - Universal Data'!$E$15:$V$15, MATCH(YEAR(EOMONTH($A69,6)), 'I1 - Universal Data'!$E$14:$V$14, 0)))</f>
        <v>-</v>
      </c>
      <c r="G69" s="1160">
        <f t="shared" si="5"/>
        <v>77.7</v>
      </c>
      <c r="H69" s="1160">
        <f t="shared" si="5"/>
        <v>186.8</v>
      </c>
      <c r="U69" s="1148"/>
    </row>
    <row r="70" spans="1:21">
      <c r="A70" s="1157">
        <f t="shared" si="2"/>
        <v>38230</v>
      </c>
      <c r="B70" s="1158">
        <f t="shared" ref="B70:B133" si="6">IF(MONTH(A70)&gt;=4,YEAR(A70)+1,YEAR(A70))</f>
        <v>2005</v>
      </c>
      <c r="C70" s="1326">
        <v>77.900000000000006</v>
      </c>
      <c r="D70" s="1326">
        <v>187.4</v>
      </c>
      <c r="E70" s="1159" t="str">
        <f>IF($A70&lt;DATE(2018,7,1),"-",INDEX('I1 - Universal Data'!$E$16:$V$16, MATCH(YEAR(EOMONTH($A70,6)), 'I1 - Universal Data'!$E$14:$V$14, 0)))</f>
        <v>-</v>
      </c>
      <c r="F70" s="1159" t="str">
        <f>IF($A70&lt;DATE(2018,7,1),"-",INDEX('I1 - Universal Data'!$E$15:$V$15, MATCH(YEAR(EOMONTH($A70,6)), 'I1 - Universal Data'!$E$14:$V$14, 0)))</f>
        <v>-</v>
      </c>
      <c r="G70" s="1160">
        <f t="shared" ref="G70:H85" si="7">IF(ISBLANK(C70),G69*((1+E70)^(1/12)),C70)</f>
        <v>77.900000000000006</v>
      </c>
      <c r="H70" s="1160">
        <f t="shared" si="7"/>
        <v>187.4</v>
      </c>
      <c r="U70" s="1148"/>
    </row>
    <row r="71" spans="1:21">
      <c r="A71" s="1157">
        <f t="shared" ref="A71:A134" si="8">IF(MONTH(A70) = 12, EOMONTH(DATE(YEAR(A70) + 1, 1, 1), 0), EOMONTH(DATE(YEAR(A70), MONTH(A70) + 1, 1), 0))</f>
        <v>38260</v>
      </c>
      <c r="B71" s="1158">
        <f t="shared" si="6"/>
        <v>2005</v>
      </c>
      <c r="C71" s="1326">
        <v>77.900000000000006</v>
      </c>
      <c r="D71" s="1326">
        <v>188.1</v>
      </c>
      <c r="E71" s="1159" t="str">
        <f>IF($A71&lt;DATE(2018,7,1),"-",INDEX('I1 - Universal Data'!$E$16:$V$16, MATCH(YEAR(EOMONTH($A71,6)), 'I1 - Universal Data'!$E$14:$V$14, 0)))</f>
        <v>-</v>
      </c>
      <c r="F71" s="1159" t="str">
        <f>IF($A71&lt;DATE(2018,7,1),"-",INDEX('I1 - Universal Data'!$E$15:$V$15, MATCH(YEAR(EOMONTH($A71,6)), 'I1 - Universal Data'!$E$14:$V$14, 0)))</f>
        <v>-</v>
      </c>
      <c r="G71" s="1160">
        <f t="shared" si="7"/>
        <v>77.900000000000006</v>
      </c>
      <c r="H71" s="1160">
        <f t="shared" si="7"/>
        <v>188.1</v>
      </c>
      <c r="U71" s="1148"/>
    </row>
    <row r="72" spans="1:21">
      <c r="A72" s="1157">
        <f t="shared" si="8"/>
        <v>38291</v>
      </c>
      <c r="B72" s="1158">
        <f t="shared" si="6"/>
        <v>2005</v>
      </c>
      <c r="C72" s="1326">
        <v>78.099999999999994</v>
      </c>
      <c r="D72" s="1326">
        <v>188.6</v>
      </c>
      <c r="E72" s="1159" t="str">
        <f>IF($A72&lt;DATE(2018,7,1),"-",INDEX('I1 - Universal Data'!$E$16:$V$16, MATCH(YEAR(EOMONTH($A72,6)), 'I1 - Universal Data'!$E$14:$V$14, 0)))</f>
        <v>-</v>
      </c>
      <c r="F72" s="1159" t="str">
        <f>IF($A72&lt;DATE(2018,7,1),"-",INDEX('I1 - Universal Data'!$E$15:$V$15, MATCH(YEAR(EOMONTH($A72,6)), 'I1 - Universal Data'!$E$14:$V$14, 0)))</f>
        <v>-</v>
      </c>
      <c r="G72" s="1160">
        <f t="shared" si="7"/>
        <v>78.099999999999994</v>
      </c>
      <c r="H72" s="1160">
        <f t="shared" si="7"/>
        <v>188.6</v>
      </c>
      <c r="U72" s="1148"/>
    </row>
    <row r="73" spans="1:21">
      <c r="A73" s="1157">
        <f t="shared" si="8"/>
        <v>38321</v>
      </c>
      <c r="B73" s="1158">
        <f t="shared" si="6"/>
        <v>2005</v>
      </c>
      <c r="C73" s="1326">
        <v>78.3</v>
      </c>
      <c r="D73" s="1326">
        <v>189</v>
      </c>
      <c r="E73" s="1159" t="str">
        <f>IF($A73&lt;DATE(2018,7,1),"-",INDEX('I1 - Universal Data'!$E$16:$V$16, MATCH(YEAR(EOMONTH($A73,6)), 'I1 - Universal Data'!$E$14:$V$14, 0)))</f>
        <v>-</v>
      </c>
      <c r="F73" s="1159" t="str">
        <f>IF($A73&lt;DATE(2018,7,1),"-",INDEX('I1 - Universal Data'!$E$15:$V$15, MATCH(YEAR(EOMONTH($A73,6)), 'I1 - Universal Data'!$E$14:$V$14, 0)))</f>
        <v>-</v>
      </c>
      <c r="G73" s="1160">
        <f t="shared" si="7"/>
        <v>78.3</v>
      </c>
      <c r="H73" s="1160">
        <f t="shared" si="7"/>
        <v>189</v>
      </c>
      <c r="U73" s="1148"/>
    </row>
    <row r="74" spans="1:21">
      <c r="A74" s="1157">
        <f t="shared" si="8"/>
        <v>38352</v>
      </c>
      <c r="B74" s="1158">
        <f t="shared" si="6"/>
        <v>2005</v>
      </c>
      <c r="C74" s="1326">
        <v>78.599999999999994</v>
      </c>
      <c r="D74" s="1326">
        <v>189.9</v>
      </c>
      <c r="E74" s="1159" t="str">
        <f>IF($A74&lt;DATE(2018,7,1),"-",INDEX('I1 - Universal Data'!$E$16:$V$16, MATCH(YEAR(EOMONTH($A74,6)), 'I1 - Universal Data'!$E$14:$V$14, 0)))</f>
        <v>-</v>
      </c>
      <c r="F74" s="1159" t="str">
        <f>IF($A74&lt;DATE(2018,7,1),"-",INDEX('I1 - Universal Data'!$E$15:$V$15, MATCH(YEAR(EOMONTH($A74,6)), 'I1 - Universal Data'!$E$14:$V$14, 0)))</f>
        <v>-</v>
      </c>
      <c r="G74" s="1160">
        <f t="shared" si="7"/>
        <v>78.599999999999994</v>
      </c>
      <c r="H74" s="1160">
        <f t="shared" si="7"/>
        <v>189.9</v>
      </c>
      <c r="U74" s="1148"/>
    </row>
    <row r="75" spans="1:21">
      <c r="A75" s="1157">
        <f t="shared" si="8"/>
        <v>38383</v>
      </c>
      <c r="B75" s="1158">
        <f t="shared" si="6"/>
        <v>2005</v>
      </c>
      <c r="C75" s="1326">
        <v>78.3</v>
      </c>
      <c r="D75" s="1326">
        <v>188.9</v>
      </c>
      <c r="E75" s="1159" t="str">
        <f>IF($A75&lt;DATE(2018,7,1),"-",INDEX('I1 - Universal Data'!$E$16:$V$16, MATCH(YEAR(EOMONTH($A75,6)), 'I1 - Universal Data'!$E$14:$V$14, 0)))</f>
        <v>-</v>
      </c>
      <c r="F75" s="1159" t="str">
        <f>IF($A75&lt;DATE(2018,7,1),"-",INDEX('I1 - Universal Data'!$E$15:$V$15, MATCH(YEAR(EOMONTH($A75,6)), 'I1 - Universal Data'!$E$14:$V$14, 0)))</f>
        <v>-</v>
      </c>
      <c r="G75" s="1160">
        <f t="shared" si="7"/>
        <v>78.3</v>
      </c>
      <c r="H75" s="1160">
        <f t="shared" si="7"/>
        <v>188.9</v>
      </c>
      <c r="U75" s="1148"/>
    </row>
    <row r="76" spans="1:21">
      <c r="A76" s="1157">
        <f t="shared" si="8"/>
        <v>38411</v>
      </c>
      <c r="B76" s="1158">
        <f t="shared" si="6"/>
        <v>2005</v>
      </c>
      <c r="C76" s="1326">
        <v>78.5</v>
      </c>
      <c r="D76" s="1326">
        <v>189.6</v>
      </c>
      <c r="E76" s="1159" t="str">
        <f>IF($A76&lt;DATE(2018,7,1),"-",INDEX('I1 - Universal Data'!$E$16:$V$16, MATCH(YEAR(EOMONTH($A76,6)), 'I1 - Universal Data'!$E$14:$V$14, 0)))</f>
        <v>-</v>
      </c>
      <c r="F76" s="1159" t="str">
        <f>IF($A76&lt;DATE(2018,7,1),"-",INDEX('I1 - Universal Data'!$E$15:$V$15, MATCH(YEAR(EOMONTH($A76,6)), 'I1 - Universal Data'!$E$14:$V$14, 0)))</f>
        <v>-</v>
      </c>
      <c r="G76" s="1160">
        <f t="shared" si="7"/>
        <v>78.5</v>
      </c>
      <c r="H76" s="1160">
        <f t="shared" si="7"/>
        <v>189.6</v>
      </c>
      <c r="U76" s="1148"/>
    </row>
    <row r="77" spans="1:21">
      <c r="A77" s="1157">
        <f t="shared" si="8"/>
        <v>38442</v>
      </c>
      <c r="B77" s="1158">
        <f t="shared" si="6"/>
        <v>2005</v>
      </c>
      <c r="C77" s="1326">
        <v>78.8</v>
      </c>
      <c r="D77" s="1326">
        <v>190.5</v>
      </c>
      <c r="E77" s="1159" t="str">
        <f>IF($A77&lt;DATE(2018,7,1),"-",INDEX('I1 - Universal Data'!$E$16:$V$16, MATCH(YEAR(EOMONTH($A77,6)), 'I1 - Universal Data'!$E$14:$V$14, 0)))</f>
        <v>-</v>
      </c>
      <c r="F77" s="1159" t="str">
        <f>IF($A77&lt;DATE(2018,7,1),"-",INDEX('I1 - Universal Data'!$E$15:$V$15, MATCH(YEAR(EOMONTH($A77,6)), 'I1 - Universal Data'!$E$14:$V$14, 0)))</f>
        <v>-</v>
      </c>
      <c r="G77" s="1160">
        <f t="shared" si="7"/>
        <v>78.8</v>
      </c>
      <c r="H77" s="1160">
        <f t="shared" si="7"/>
        <v>190.5</v>
      </c>
      <c r="U77" s="1148"/>
    </row>
    <row r="78" spans="1:21">
      <c r="A78" s="1157">
        <f t="shared" si="8"/>
        <v>38472</v>
      </c>
      <c r="B78" s="1158">
        <f t="shared" si="6"/>
        <v>2006</v>
      </c>
      <c r="C78" s="1326">
        <v>79.099999999999994</v>
      </c>
      <c r="D78" s="1326">
        <v>191.6</v>
      </c>
      <c r="E78" s="1159" t="str">
        <f>IF($A78&lt;DATE(2018,7,1),"-",INDEX('I1 - Universal Data'!$E$16:$V$16, MATCH(YEAR(EOMONTH($A78,6)), 'I1 - Universal Data'!$E$14:$V$14, 0)))</f>
        <v>-</v>
      </c>
      <c r="F78" s="1159" t="str">
        <f>IF($A78&lt;DATE(2018,7,1),"-",INDEX('I1 - Universal Data'!$E$15:$V$15, MATCH(YEAR(EOMONTH($A78,6)), 'I1 - Universal Data'!$E$14:$V$14, 0)))</f>
        <v>-</v>
      </c>
      <c r="G78" s="1160">
        <f t="shared" si="7"/>
        <v>79.099999999999994</v>
      </c>
      <c r="H78" s="1160">
        <f t="shared" si="7"/>
        <v>191.6</v>
      </c>
      <c r="U78" s="1148"/>
    </row>
    <row r="79" spans="1:21">
      <c r="A79" s="1157">
        <f t="shared" si="8"/>
        <v>38503</v>
      </c>
      <c r="B79" s="1158">
        <f t="shared" si="6"/>
        <v>2006</v>
      </c>
      <c r="C79" s="1326">
        <v>79.400000000000006</v>
      </c>
      <c r="D79" s="1326">
        <v>192</v>
      </c>
      <c r="E79" s="1159" t="str">
        <f>IF($A79&lt;DATE(2018,7,1),"-",INDEX('I1 - Universal Data'!$E$16:$V$16, MATCH(YEAR(EOMONTH($A79,6)), 'I1 - Universal Data'!$E$14:$V$14, 0)))</f>
        <v>-</v>
      </c>
      <c r="F79" s="1159" t="str">
        <f>IF($A79&lt;DATE(2018,7,1),"-",INDEX('I1 - Universal Data'!$E$15:$V$15, MATCH(YEAR(EOMONTH($A79,6)), 'I1 - Universal Data'!$E$14:$V$14, 0)))</f>
        <v>-</v>
      </c>
      <c r="G79" s="1160">
        <f t="shared" si="7"/>
        <v>79.400000000000006</v>
      </c>
      <c r="H79" s="1160">
        <f t="shared" si="7"/>
        <v>192</v>
      </c>
      <c r="U79" s="1148"/>
    </row>
    <row r="80" spans="1:21">
      <c r="A80" s="1157">
        <f t="shared" si="8"/>
        <v>38533</v>
      </c>
      <c r="B80" s="1158">
        <f t="shared" si="6"/>
        <v>2006</v>
      </c>
      <c r="C80" s="1326">
        <v>79.400000000000006</v>
      </c>
      <c r="D80" s="1326">
        <v>192.2</v>
      </c>
      <c r="E80" s="1159" t="str">
        <f>IF($A80&lt;DATE(2018,7,1),"-",INDEX('I1 - Universal Data'!$E$16:$V$16, MATCH(YEAR(EOMONTH($A80,6)), 'I1 - Universal Data'!$E$14:$V$14, 0)))</f>
        <v>-</v>
      </c>
      <c r="F80" s="1159" t="str">
        <f>IF($A80&lt;DATE(2018,7,1),"-",INDEX('I1 - Universal Data'!$E$15:$V$15, MATCH(YEAR(EOMONTH($A80,6)), 'I1 - Universal Data'!$E$14:$V$14, 0)))</f>
        <v>-</v>
      </c>
      <c r="G80" s="1160">
        <f t="shared" si="7"/>
        <v>79.400000000000006</v>
      </c>
      <c r="H80" s="1160">
        <f t="shared" si="7"/>
        <v>192.2</v>
      </c>
      <c r="U80" s="1148"/>
    </row>
    <row r="81" spans="1:21">
      <c r="A81" s="1157">
        <f t="shared" si="8"/>
        <v>38564</v>
      </c>
      <c r="B81" s="1158">
        <f t="shared" si="6"/>
        <v>2006</v>
      </c>
      <c r="C81" s="1326">
        <v>79.5</v>
      </c>
      <c r="D81" s="1326">
        <v>192.2</v>
      </c>
      <c r="E81" s="1159" t="str">
        <f>IF($A81&lt;DATE(2018,7,1),"-",INDEX('I1 - Universal Data'!$E$16:$V$16, MATCH(YEAR(EOMONTH($A81,6)), 'I1 - Universal Data'!$E$14:$V$14, 0)))</f>
        <v>-</v>
      </c>
      <c r="F81" s="1159" t="str">
        <f>IF($A81&lt;DATE(2018,7,1),"-",INDEX('I1 - Universal Data'!$E$15:$V$15, MATCH(YEAR(EOMONTH($A81,6)), 'I1 - Universal Data'!$E$14:$V$14, 0)))</f>
        <v>-</v>
      </c>
      <c r="G81" s="1160">
        <f t="shared" si="7"/>
        <v>79.5</v>
      </c>
      <c r="H81" s="1160">
        <f t="shared" si="7"/>
        <v>192.2</v>
      </c>
      <c r="U81" s="1148"/>
    </row>
    <row r="82" spans="1:21">
      <c r="A82" s="1157">
        <f t="shared" si="8"/>
        <v>38595</v>
      </c>
      <c r="B82" s="1158">
        <f t="shared" si="6"/>
        <v>2006</v>
      </c>
      <c r="C82" s="1326">
        <v>79.7</v>
      </c>
      <c r="D82" s="1326">
        <v>192.6</v>
      </c>
      <c r="E82" s="1159" t="str">
        <f>IF($A82&lt;DATE(2018,7,1),"-",INDEX('I1 - Universal Data'!$E$16:$V$16, MATCH(YEAR(EOMONTH($A82,6)), 'I1 - Universal Data'!$E$14:$V$14, 0)))</f>
        <v>-</v>
      </c>
      <c r="F82" s="1159" t="str">
        <f>IF($A82&lt;DATE(2018,7,1),"-",INDEX('I1 - Universal Data'!$E$15:$V$15, MATCH(YEAR(EOMONTH($A82,6)), 'I1 - Universal Data'!$E$14:$V$14, 0)))</f>
        <v>-</v>
      </c>
      <c r="G82" s="1160">
        <f t="shared" si="7"/>
        <v>79.7</v>
      </c>
      <c r="H82" s="1160">
        <f t="shared" si="7"/>
        <v>192.6</v>
      </c>
      <c r="U82" s="1148"/>
    </row>
    <row r="83" spans="1:21">
      <c r="A83" s="1157">
        <f t="shared" si="8"/>
        <v>38625</v>
      </c>
      <c r="B83" s="1158">
        <f t="shared" si="6"/>
        <v>2006</v>
      </c>
      <c r="C83" s="1326">
        <v>79.900000000000006</v>
      </c>
      <c r="D83" s="1326">
        <v>193.1</v>
      </c>
      <c r="E83" s="1159" t="str">
        <f>IF($A83&lt;DATE(2018,7,1),"-",INDEX('I1 - Universal Data'!$E$16:$V$16, MATCH(YEAR(EOMONTH($A83,6)), 'I1 - Universal Data'!$E$14:$V$14, 0)))</f>
        <v>-</v>
      </c>
      <c r="F83" s="1159" t="str">
        <f>IF($A83&lt;DATE(2018,7,1),"-",INDEX('I1 - Universal Data'!$E$15:$V$15, MATCH(YEAR(EOMONTH($A83,6)), 'I1 - Universal Data'!$E$14:$V$14, 0)))</f>
        <v>-</v>
      </c>
      <c r="G83" s="1160">
        <f t="shared" si="7"/>
        <v>79.900000000000006</v>
      </c>
      <c r="H83" s="1160">
        <f t="shared" si="7"/>
        <v>193.1</v>
      </c>
      <c r="U83" s="1148"/>
    </row>
    <row r="84" spans="1:21">
      <c r="A84" s="1157">
        <f t="shared" si="8"/>
        <v>38656</v>
      </c>
      <c r="B84" s="1158">
        <f t="shared" si="6"/>
        <v>2006</v>
      </c>
      <c r="C84" s="1326">
        <v>80</v>
      </c>
      <c r="D84" s="1326">
        <v>193.3</v>
      </c>
      <c r="E84" s="1159" t="str">
        <f>IF($A84&lt;DATE(2018,7,1),"-",INDEX('I1 - Universal Data'!$E$16:$V$16, MATCH(YEAR(EOMONTH($A84,6)), 'I1 - Universal Data'!$E$14:$V$14, 0)))</f>
        <v>-</v>
      </c>
      <c r="F84" s="1159" t="str">
        <f>IF($A84&lt;DATE(2018,7,1),"-",INDEX('I1 - Universal Data'!$E$15:$V$15, MATCH(YEAR(EOMONTH($A84,6)), 'I1 - Universal Data'!$E$14:$V$14, 0)))</f>
        <v>-</v>
      </c>
      <c r="G84" s="1160">
        <f t="shared" si="7"/>
        <v>80</v>
      </c>
      <c r="H84" s="1160">
        <f t="shared" si="7"/>
        <v>193.3</v>
      </c>
      <c r="U84" s="1148"/>
    </row>
    <row r="85" spans="1:21">
      <c r="A85" s="1157">
        <f t="shared" si="8"/>
        <v>38686</v>
      </c>
      <c r="B85" s="1158">
        <f t="shared" si="6"/>
        <v>2006</v>
      </c>
      <c r="C85" s="1326">
        <v>80</v>
      </c>
      <c r="D85" s="1326">
        <v>193.6</v>
      </c>
      <c r="E85" s="1159" t="str">
        <f>IF($A85&lt;DATE(2018,7,1),"-",INDEX('I1 - Universal Data'!$E$16:$V$16, MATCH(YEAR(EOMONTH($A85,6)), 'I1 - Universal Data'!$E$14:$V$14, 0)))</f>
        <v>-</v>
      </c>
      <c r="F85" s="1159" t="str">
        <f>IF($A85&lt;DATE(2018,7,1),"-",INDEX('I1 - Universal Data'!$E$15:$V$15, MATCH(YEAR(EOMONTH($A85,6)), 'I1 - Universal Data'!$E$14:$V$14, 0)))</f>
        <v>-</v>
      </c>
      <c r="G85" s="1160">
        <f t="shared" si="7"/>
        <v>80</v>
      </c>
      <c r="H85" s="1160">
        <f t="shared" si="7"/>
        <v>193.6</v>
      </c>
      <c r="U85" s="1148"/>
    </row>
    <row r="86" spans="1:21">
      <c r="A86" s="1157">
        <f t="shared" si="8"/>
        <v>38717</v>
      </c>
      <c r="B86" s="1158">
        <f t="shared" si="6"/>
        <v>2006</v>
      </c>
      <c r="C86" s="1326">
        <v>80.3</v>
      </c>
      <c r="D86" s="1326">
        <v>194.1</v>
      </c>
      <c r="E86" s="1159" t="str">
        <f>IF($A86&lt;DATE(2018,7,1),"-",INDEX('I1 - Universal Data'!$E$16:$V$16, MATCH(YEAR(EOMONTH($A86,6)), 'I1 - Universal Data'!$E$14:$V$14, 0)))</f>
        <v>-</v>
      </c>
      <c r="F86" s="1159" t="str">
        <f>IF($A86&lt;DATE(2018,7,1),"-",INDEX('I1 - Universal Data'!$E$15:$V$15, MATCH(YEAR(EOMONTH($A86,6)), 'I1 - Universal Data'!$E$14:$V$14, 0)))</f>
        <v>-</v>
      </c>
      <c r="G86" s="1160">
        <f t="shared" ref="G86:H101" si="9">IF(ISBLANK(C86),G85*((1+E86)^(1/12)),C86)</f>
        <v>80.3</v>
      </c>
      <c r="H86" s="1160">
        <f t="shared" si="9"/>
        <v>194.1</v>
      </c>
      <c r="U86" s="1148"/>
    </row>
    <row r="87" spans="1:21">
      <c r="A87" s="1157">
        <f t="shared" si="8"/>
        <v>38748</v>
      </c>
      <c r="B87" s="1158">
        <f t="shared" si="6"/>
        <v>2006</v>
      </c>
      <c r="C87" s="1326">
        <v>80</v>
      </c>
      <c r="D87" s="1326">
        <v>193.4</v>
      </c>
      <c r="E87" s="1159" t="str">
        <f>IF($A87&lt;DATE(2018,7,1),"-",INDEX('I1 - Universal Data'!$E$16:$V$16, MATCH(YEAR(EOMONTH($A87,6)), 'I1 - Universal Data'!$E$14:$V$14, 0)))</f>
        <v>-</v>
      </c>
      <c r="F87" s="1159" t="str">
        <f>IF($A87&lt;DATE(2018,7,1),"-",INDEX('I1 - Universal Data'!$E$15:$V$15, MATCH(YEAR(EOMONTH($A87,6)), 'I1 - Universal Data'!$E$14:$V$14, 0)))</f>
        <v>-</v>
      </c>
      <c r="G87" s="1160">
        <f t="shared" si="9"/>
        <v>80</v>
      </c>
      <c r="H87" s="1160">
        <f t="shared" si="9"/>
        <v>193.4</v>
      </c>
      <c r="U87" s="1148"/>
    </row>
    <row r="88" spans="1:21">
      <c r="A88" s="1157">
        <f t="shared" si="8"/>
        <v>38776</v>
      </c>
      <c r="B88" s="1158">
        <f t="shared" si="6"/>
        <v>2006</v>
      </c>
      <c r="C88" s="1326">
        <v>80.2</v>
      </c>
      <c r="D88" s="1326">
        <v>194.2</v>
      </c>
      <c r="E88" s="1159" t="str">
        <f>IF($A88&lt;DATE(2018,7,1),"-",INDEX('I1 - Universal Data'!$E$16:$V$16, MATCH(YEAR(EOMONTH($A88,6)), 'I1 - Universal Data'!$E$14:$V$14, 0)))</f>
        <v>-</v>
      </c>
      <c r="F88" s="1159" t="str">
        <f>IF($A88&lt;DATE(2018,7,1),"-",INDEX('I1 - Universal Data'!$E$15:$V$15, MATCH(YEAR(EOMONTH($A88,6)), 'I1 - Universal Data'!$E$14:$V$14, 0)))</f>
        <v>-</v>
      </c>
      <c r="G88" s="1160">
        <f t="shared" si="9"/>
        <v>80.2</v>
      </c>
      <c r="H88" s="1160">
        <f t="shared" si="9"/>
        <v>194.2</v>
      </c>
      <c r="U88" s="1148"/>
    </row>
    <row r="89" spans="1:21">
      <c r="A89" s="1157">
        <f t="shared" si="8"/>
        <v>38807</v>
      </c>
      <c r="B89" s="1158">
        <f t="shared" si="6"/>
        <v>2006</v>
      </c>
      <c r="C89" s="1326">
        <v>80.400000000000006</v>
      </c>
      <c r="D89" s="1326">
        <v>195</v>
      </c>
      <c r="E89" s="1159" t="str">
        <f>IF($A89&lt;DATE(2018,7,1),"-",INDEX('I1 - Universal Data'!$E$16:$V$16, MATCH(YEAR(EOMONTH($A89,6)), 'I1 - Universal Data'!$E$14:$V$14, 0)))</f>
        <v>-</v>
      </c>
      <c r="F89" s="1159" t="str">
        <f>IF($A89&lt;DATE(2018,7,1),"-",INDEX('I1 - Universal Data'!$E$15:$V$15, MATCH(YEAR(EOMONTH($A89,6)), 'I1 - Universal Data'!$E$14:$V$14, 0)))</f>
        <v>-</v>
      </c>
      <c r="G89" s="1160">
        <f t="shared" si="9"/>
        <v>80.400000000000006</v>
      </c>
      <c r="H89" s="1160">
        <f t="shared" si="9"/>
        <v>195</v>
      </c>
      <c r="U89" s="1148"/>
    </row>
    <row r="90" spans="1:21">
      <c r="A90" s="1157">
        <f t="shared" si="8"/>
        <v>38837</v>
      </c>
      <c r="B90" s="1158">
        <f t="shared" si="6"/>
        <v>2007</v>
      </c>
      <c r="C90" s="1326">
        <v>80.900000000000006</v>
      </c>
      <c r="D90" s="1326">
        <v>196.5</v>
      </c>
      <c r="E90" s="1159" t="str">
        <f>IF($A90&lt;DATE(2018,7,1),"-",INDEX('I1 - Universal Data'!$E$16:$V$16, MATCH(YEAR(EOMONTH($A90,6)), 'I1 - Universal Data'!$E$14:$V$14, 0)))</f>
        <v>-</v>
      </c>
      <c r="F90" s="1159" t="str">
        <f>IF($A90&lt;DATE(2018,7,1),"-",INDEX('I1 - Universal Data'!$E$15:$V$15, MATCH(YEAR(EOMONTH($A90,6)), 'I1 - Universal Data'!$E$14:$V$14, 0)))</f>
        <v>-</v>
      </c>
      <c r="G90" s="1160">
        <f t="shared" si="9"/>
        <v>80.900000000000006</v>
      </c>
      <c r="H90" s="1160">
        <f t="shared" si="9"/>
        <v>196.5</v>
      </c>
      <c r="U90" s="1148"/>
    </row>
    <row r="91" spans="1:21">
      <c r="A91" s="1157">
        <f t="shared" si="8"/>
        <v>38868</v>
      </c>
      <c r="B91" s="1158">
        <f t="shared" si="6"/>
        <v>2007</v>
      </c>
      <c r="C91" s="1326">
        <v>81.3</v>
      </c>
      <c r="D91" s="1326">
        <v>197.7</v>
      </c>
      <c r="E91" s="1159" t="str">
        <f>IF($A91&lt;DATE(2018,7,1),"-",INDEX('I1 - Universal Data'!$E$16:$V$16, MATCH(YEAR(EOMONTH($A91,6)), 'I1 - Universal Data'!$E$14:$V$14, 0)))</f>
        <v>-</v>
      </c>
      <c r="F91" s="1159" t="str">
        <f>IF($A91&lt;DATE(2018,7,1),"-",INDEX('I1 - Universal Data'!$E$15:$V$15, MATCH(YEAR(EOMONTH($A91,6)), 'I1 - Universal Data'!$E$14:$V$14, 0)))</f>
        <v>-</v>
      </c>
      <c r="G91" s="1160">
        <f t="shared" si="9"/>
        <v>81.3</v>
      </c>
      <c r="H91" s="1160">
        <f t="shared" si="9"/>
        <v>197.7</v>
      </c>
      <c r="U91" s="1148"/>
    </row>
    <row r="92" spans="1:21">
      <c r="A92" s="1157">
        <f t="shared" si="8"/>
        <v>38898</v>
      </c>
      <c r="B92" s="1158">
        <f t="shared" si="6"/>
        <v>2007</v>
      </c>
      <c r="C92" s="1326">
        <v>81.5</v>
      </c>
      <c r="D92" s="1326">
        <v>198.5</v>
      </c>
      <c r="E92" s="1159" t="str">
        <f>IF($A92&lt;DATE(2018,7,1),"-",INDEX('I1 - Universal Data'!$E$16:$V$16, MATCH(YEAR(EOMONTH($A92,6)), 'I1 - Universal Data'!$E$14:$V$14, 0)))</f>
        <v>-</v>
      </c>
      <c r="F92" s="1159" t="str">
        <f>IF($A92&lt;DATE(2018,7,1),"-",INDEX('I1 - Universal Data'!$E$15:$V$15, MATCH(YEAR(EOMONTH($A92,6)), 'I1 - Universal Data'!$E$14:$V$14, 0)))</f>
        <v>-</v>
      </c>
      <c r="G92" s="1160">
        <f t="shared" si="9"/>
        <v>81.5</v>
      </c>
      <c r="H92" s="1160">
        <f t="shared" si="9"/>
        <v>198.5</v>
      </c>
      <c r="U92" s="1148"/>
    </row>
    <row r="93" spans="1:21">
      <c r="A93" s="1157">
        <f t="shared" si="8"/>
        <v>38929</v>
      </c>
      <c r="B93" s="1158">
        <f t="shared" si="6"/>
        <v>2007</v>
      </c>
      <c r="C93" s="1326">
        <v>81.5</v>
      </c>
      <c r="D93" s="1326">
        <v>198.5</v>
      </c>
      <c r="E93" s="1159" t="str">
        <f>IF($A93&lt;DATE(2018,7,1),"-",INDEX('I1 - Universal Data'!$E$16:$V$16, MATCH(YEAR(EOMONTH($A93,6)), 'I1 - Universal Data'!$E$14:$V$14, 0)))</f>
        <v>-</v>
      </c>
      <c r="F93" s="1159" t="str">
        <f>IF($A93&lt;DATE(2018,7,1),"-",INDEX('I1 - Universal Data'!$E$15:$V$15, MATCH(YEAR(EOMONTH($A93,6)), 'I1 - Universal Data'!$E$14:$V$14, 0)))</f>
        <v>-</v>
      </c>
      <c r="G93" s="1160">
        <f t="shared" si="9"/>
        <v>81.5</v>
      </c>
      <c r="H93" s="1160">
        <f t="shared" si="9"/>
        <v>198.5</v>
      </c>
      <c r="U93" s="1148"/>
    </row>
    <row r="94" spans="1:21">
      <c r="A94" s="1157">
        <f t="shared" si="8"/>
        <v>38960</v>
      </c>
      <c r="B94" s="1158">
        <f t="shared" si="6"/>
        <v>2007</v>
      </c>
      <c r="C94" s="1326">
        <v>81.8</v>
      </c>
      <c r="D94" s="1326">
        <v>199.2</v>
      </c>
      <c r="E94" s="1159" t="str">
        <f>IF($A94&lt;DATE(2018,7,1),"-",INDEX('I1 - Universal Data'!$E$16:$V$16, MATCH(YEAR(EOMONTH($A94,6)), 'I1 - Universal Data'!$E$14:$V$14, 0)))</f>
        <v>-</v>
      </c>
      <c r="F94" s="1159" t="str">
        <f>IF($A94&lt;DATE(2018,7,1),"-",INDEX('I1 - Universal Data'!$E$15:$V$15, MATCH(YEAR(EOMONTH($A94,6)), 'I1 - Universal Data'!$E$14:$V$14, 0)))</f>
        <v>-</v>
      </c>
      <c r="G94" s="1160">
        <f t="shared" si="9"/>
        <v>81.8</v>
      </c>
      <c r="H94" s="1160">
        <f t="shared" si="9"/>
        <v>199.2</v>
      </c>
      <c r="U94" s="1148"/>
    </row>
    <row r="95" spans="1:21">
      <c r="A95" s="1157">
        <f t="shared" si="8"/>
        <v>38990</v>
      </c>
      <c r="B95" s="1158">
        <f t="shared" si="6"/>
        <v>2007</v>
      </c>
      <c r="C95" s="1326">
        <v>81.900000000000006</v>
      </c>
      <c r="D95" s="1326">
        <v>200.1</v>
      </c>
      <c r="E95" s="1159" t="str">
        <f>IF($A95&lt;DATE(2018,7,1),"-",INDEX('I1 - Universal Data'!$E$16:$V$16, MATCH(YEAR(EOMONTH($A95,6)), 'I1 - Universal Data'!$E$14:$V$14, 0)))</f>
        <v>-</v>
      </c>
      <c r="F95" s="1159" t="str">
        <f>IF($A95&lt;DATE(2018,7,1),"-",INDEX('I1 - Universal Data'!$E$15:$V$15, MATCH(YEAR(EOMONTH($A95,6)), 'I1 - Universal Data'!$E$14:$V$14, 0)))</f>
        <v>-</v>
      </c>
      <c r="G95" s="1160">
        <f t="shared" si="9"/>
        <v>81.900000000000006</v>
      </c>
      <c r="H95" s="1160">
        <f t="shared" si="9"/>
        <v>200.1</v>
      </c>
      <c r="U95" s="1148"/>
    </row>
    <row r="96" spans="1:21">
      <c r="A96" s="1157">
        <f t="shared" si="8"/>
        <v>39021</v>
      </c>
      <c r="B96" s="1158">
        <f t="shared" si="6"/>
        <v>2007</v>
      </c>
      <c r="C96" s="1326">
        <v>82</v>
      </c>
      <c r="D96" s="1326">
        <v>200.4</v>
      </c>
      <c r="E96" s="1159" t="str">
        <f>IF($A96&lt;DATE(2018,7,1),"-",INDEX('I1 - Universal Data'!$E$16:$V$16, MATCH(YEAR(EOMONTH($A96,6)), 'I1 - Universal Data'!$E$14:$V$14, 0)))</f>
        <v>-</v>
      </c>
      <c r="F96" s="1159" t="str">
        <f>IF($A96&lt;DATE(2018,7,1),"-",INDEX('I1 - Universal Data'!$E$15:$V$15, MATCH(YEAR(EOMONTH($A96,6)), 'I1 - Universal Data'!$E$14:$V$14, 0)))</f>
        <v>-</v>
      </c>
      <c r="G96" s="1160">
        <f t="shared" si="9"/>
        <v>82</v>
      </c>
      <c r="H96" s="1160">
        <f t="shared" si="9"/>
        <v>200.4</v>
      </c>
      <c r="U96" s="1148"/>
    </row>
    <row r="97" spans="1:21">
      <c r="A97" s="1157">
        <f t="shared" si="8"/>
        <v>39051</v>
      </c>
      <c r="B97" s="1158">
        <f t="shared" si="6"/>
        <v>2007</v>
      </c>
      <c r="C97" s="1326">
        <v>82.2</v>
      </c>
      <c r="D97" s="1326">
        <v>201.1</v>
      </c>
      <c r="E97" s="1159" t="str">
        <f>IF($A97&lt;DATE(2018,7,1),"-",INDEX('I1 - Universal Data'!$E$16:$V$16, MATCH(YEAR(EOMONTH($A97,6)), 'I1 - Universal Data'!$E$14:$V$14, 0)))</f>
        <v>-</v>
      </c>
      <c r="F97" s="1159" t="str">
        <f>IF($A97&lt;DATE(2018,7,1),"-",INDEX('I1 - Universal Data'!$E$15:$V$15, MATCH(YEAR(EOMONTH($A97,6)), 'I1 - Universal Data'!$E$14:$V$14, 0)))</f>
        <v>-</v>
      </c>
      <c r="G97" s="1160">
        <f t="shared" si="9"/>
        <v>82.2</v>
      </c>
      <c r="H97" s="1160">
        <f t="shared" si="9"/>
        <v>201.1</v>
      </c>
      <c r="U97" s="1148"/>
    </row>
    <row r="98" spans="1:21">
      <c r="A98" s="1157">
        <f t="shared" si="8"/>
        <v>39082</v>
      </c>
      <c r="B98" s="1158">
        <f t="shared" si="6"/>
        <v>2007</v>
      </c>
      <c r="C98" s="1326">
        <v>82.6</v>
      </c>
      <c r="D98" s="1326">
        <v>202.7</v>
      </c>
      <c r="E98" s="1159" t="str">
        <f>IF($A98&lt;DATE(2018,7,1),"-",INDEX('I1 - Universal Data'!$E$16:$V$16, MATCH(YEAR(EOMONTH($A98,6)), 'I1 - Universal Data'!$E$14:$V$14, 0)))</f>
        <v>-</v>
      </c>
      <c r="F98" s="1159" t="str">
        <f>IF($A98&lt;DATE(2018,7,1),"-",INDEX('I1 - Universal Data'!$E$15:$V$15, MATCH(YEAR(EOMONTH($A98,6)), 'I1 - Universal Data'!$E$14:$V$14, 0)))</f>
        <v>-</v>
      </c>
      <c r="G98" s="1160">
        <f t="shared" si="9"/>
        <v>82.6</v>
      </c>
      <c r="H98" s="1160">
        <f t="shared" si="9"/>
        <v>202.7</v>
      </c>
      <c r="U98" s="1148"/>
    </row>
    <row r="99" spans="1:21">
      <c r="A99" s="1157">
        <f t="shared" si="8"/>
        <v>39113</v>
      </c>
      <c r="B99" s="1158">
        <f t="shared" si="6"/>
        <v>2007</v>
      </c>
      <c r="C99" s="1326">
        <v>82.1</v>
      </c>
      <c r="D99" s="1326">
        <v>201.6</v>
      </c>
      <c r="E99" s="1159" t="str">
        <f>IF($A99&lt;DATE(2018,7,1),"-",INDEX('I1 - Universal Data'!$E$16:$V$16, MATCH(YEAR(EOMONTH($A99,6)), 'I1 - Universal Data'!$E$14:$V$14, 0)))</f>
        <v>-</v>
      </c>
      <c r="F99" s="1159" t="str">
        <f>IF($A99&lt;DATE(2018,7,1),"-",INDEX('I1 - Universal Data'!$E$15:$V$15, MATCH(YEAR(EOMONTH($A99,6)), 'I1 - Universal Data'!$E$14:$V$14, 0)))</f>
        <v>-</v>
      </c>
      <c r="G99" s="1160">
        <f t="shared" si="9"/>
        <v>82.1</v>
      </c>
      <c r="H99" s="1160">
        <f t="shared" si="9"/>
        <v>201.6</v>
      </c>
      <c r="U99" s="1148"/>
    </row>
    <row r="100" spans="1:21">
      <c r="A100" s="1157">
        <f t="shared" si="8"/>
        <v>39141</v>
      </c>
      <c r="B100" s="1158">
        <f t="shared" si="6"/>
        <v>2007</v>
      </c>
      <c r="C100" s="1326">
        <v>82.4</v>
      </c>
      <c r="D100" s="1326">
        <v>203.1</v>
      </c>
      <c r="E100" s="1159" t="str">
        <f>IF($A100&lt;DATE(2018,7,1),"-",INDEX('I1 - Universal Data'!$E$16:$V$16, MATCH(YEAR(EOMONTH($A100,6)), 'I1 - Universal Data'!$E$14:$V$14, 0)))</f>
        <v>-</v>
      </c>
      <c r="F100" s="1159" t="str">
        <f>IF($A100&lt;DATE(2018,7,1),"-",INDEX('I1 - Universal Data'!$E$15:$V$15, MATCH(YEAR(EOMONTH($A100,6)), 'I1 - Universal Data'!$E$14:$V$14, 0)))</f>
        <v>-</v>
      </c>
      <c r="G100" s="1160">
        <f t="shared" si="9"/>
        <v>82.4</v>
      </c>
      <c r="H100" s="1160">
        <f t="shared" si="9"/>
        <v>203.1</v>
      </c>
      <c r="U100" s="1148"/>
    </row>
    <row r="101" spans="1:21">
      <c r="A101" s="1157">
        <f t="shared" si="8"/>
        <v>39172</v>
      </c>
      <c r="B101" s="1158">
        <f t="shared" si="6"/>
        <v>2007</v>
      </c>
      <c r="C101" s="1326">
        <v>82.8</v>
      </c>
      <c r="D101" s="1326">
        <v>204.4</v>
      </c>
      <c r="E101" s="1159" t="str">
        <f>IF($A101&lt;DATE(2018,7,1),"-",INDEX('I1 - Universal Data'!$E$16:$V$16, MATCH(YEAR(EOMONTH($A101,6)), 'I1 - Universal Data'!$E$14:$V$14, 0)))</f>
        <v>-</v>
      </c>
      <c r="F101" s="1159" t="str">
        <f>IF($A101&lt;DATE(2018,7,1),"-",INDEX('I1 - Universal Data'!$E$15:$V$15, MATCH(YEAR(EOMONTH($A101,6)), 'I1 - Universal Data'!$E$14:$V$14, 0)))</f>
        <v>-</v>
      </c>
      <c r="G101" s="1160">
        <f t="shared" si="9"/>
        <v>82.8</v>
      </c>
      <c r="H101" s="1160">
        <f t="shared" si="9"/>
        <v>204.4</v>
      </c>
      <c r="U101" s="1148"/>
    </row>
    <row r="102" spans="1:21">
      <c r="A102" s="1157">
        <f t="shared" si="8"/>
        <v>39202</v>
      </c>
      <c r="B102" s="1158">
        <f t="shared" si="6"/>
        <v>2008</v>
      </c>
      <c r="C102" s="1326">
        <v>83.1</v>
      </c>
      <c r="D102" s="1326">
        <v>205.4</v>
      </c>
      <c r="E102" s="1159" t="str">
        <f>IF($A102&lt;DATE(2018,7,1),"-",INDEX('I1 - Universal Data'!$E$16:$V$16, MATCH(YEAR(EOMONTH($A102,6)), 'I1 - Universal Data'!$E$14:$V$14, 0)))</f>
        <v>-</v>
      </c>
      <c r="F102" s="1159" t="str">
        <f>IF($A102&lt;DATE(2018,7,1),"-",INDEX('I1 - Universal Data'!$E$15:$V$15, MATCH(YEAR(EOMONTH($A102,6)), 'I1 - Universal Data'!$E$14:$V$14, 0)))</f>
        <v>-</v>
      </c>
      <c r="G102" s="1160">
        <f t="shared" ref="G102:H117" si="10">IF(ISBLANK(C102),G101*((1+E102)^(1/12)),C102)</f>
        <v>83.1</v>
      </c>
      <c r="H102" s="1160">
        <f t="shared" si="10"/>
        <v>205.4</v>
      </c>
      <c r="U102" s="1148"/>
    </row>
    <row r="103" spans="1:21">
      <c r="A103" s="1157">
        <f t="shared" si="8"/>
        <v>39233</v>
      </c>
      <c r="B103" s="1158">
        <f t="shared" si="6"/>
        <v>2008</v>
      </c>
      <c r="C103" s="1326">
        <v>83.3</v>
      </c>
      <c r="D103" s="1326">
        <v>206.2</v>
      </c>
      <c r="E103" s="1159" t="str">
        <f>IF($A103&lt;DATE(2018,7,1),"-",INDEX('I1 - Universal Data'!$E$16:$V$16, MATCH(YEAR(EOMONTH($A103,6)), 'I1 - Universal Data'!$E$14:$V$14, 0)))</f>
        <v>-</v>
      </c>
      <c r="F103" s="1159" t="str">
        <f>IF($A103&lt;DATE(2018,7,1),"-",INDEX('I1 - Universal Data'!$E$15:$V$15, MATCH(YEAR(EOMONTH($A103,6)), 'I1 - Universal Data'!$E$14:$V$14, 0)))</f>
        <v>-</v>
      </c>
      <c r="G103" s="1160">
        <f t="shared" si="10"/>
        <v>83.3</v>
      </c>
      <c r="H103" s="1160">
        <f t="shared" si="10"/>
        <v>206.2</v>
      </c>
      <c r="U103" s="1148"/>
    </row>
    <row r="104" spans="1:21">
      <c r="A104" s="1157">
        <f t="shared" si="8"/>
        <v>39263</v>
      </c>
      <c r="B104" s="1158">
        <f t="shared" si="6"/>
        <v>2008</v>
      </c>
      <c r="C104" s="1326">
        <v>83.5</v>
      </c>
      <c r="D104" s="1326">
        <v>207.3</v>
      </c>
      <c r="E104" s="1159" t="str">
        <f>IF($A104&lt;DATE(2018,7,1),"-",INDEX('I1 - Universal Data'!$E$16:$V$16, MATCH(YEAR(EOMONTH($A104,6)), 'I1 - Universal Data'!$E$14:$V$14, 0)))</f>
        <v>-</v>
      </c>
      <c r="F104" s="1159" t="str">
        <f>IF($A104&lt;DATE(2018,7,1),"-",INDEX('I1 - Universal Data'!$E$15:$V$15, MATCH(YEAR(EOMONTH($A104,6)), 'I1 - Universal Data'!$E$14:$V$14, 0)))</f>
        <v>-</v>
      </c>
      <c r="G104" s="1160">
        <f t="shared" si="10"/>
        <v>83.5</v>
      </c>
      <c r="H104" s="1160">
        <f t="shared" si="10"/>
        <v>207.3</v>
      </c>
      <c r="U104" s="1148"/>
    </row>
    <row r="105" spans="1:21">
      <c r="A105" s="1157">
        <f t="shared" si="8"/>
        <v>39294</v>
      </c>
      <c r="B105" s="1158">
        <f t="shared" si="6"/>
        <v>2008</v>
      </c>
      <c r="C105" s="1326">
        <v>83.1</v>
      </c>
      <c r="D105" s="1326">
        <v>206.1</v>
      </c>
      <c r="E105" s="1159" t="str">
        <f>IF($A105&lt;DATE(2018,7,1),"-",INDEX('I1 - Universal Data'!$E$16:$V$16, MATCH(YEAR(EOMONTH($A105,6)), 'I1 - Universal Data'!$E$14:$V$14, 0)))</f>
        <v>-</v>
      </c>
      <c r="F105" s="1159" t="str">
        <f>IF($A105&lt;DATE(2018,7,1),"-",INDEX('I1 - Universal Data'!$E$15:$V$15, MATCH(YEAR(EOMONTH($A105,6)), 'I1 - Universal Data'!$E$14:$V$14, 0)))</f>
        <v>-</v>
      </c>
      <c r="G105" s="1160">
        <f t="shared" si="10"/>
        <v>83.1</v>
      </c>
      <c r="H105" s="1160">
        <f t="shared" si="10"/>
        <v>206.1</v>
      </c>
      <c r="U105" s="1148"/>
    </row>
    <row r="106" spans="1:21">
      <c r="A106" s="1157">
        <f t="shared" si="8"/>
        <v>39325</v>
      </c>
      <c r="B106" s="1158">
        <f t="shared" si="6"/>
        <v>2008</v>
      </c>
      <c r="C106" s="1326">
        <v>83.4</v>
      </c>
      <c r="D106" s="1326">
        <v>207.3</v>
      </c>
      <c r="E106" s="1159" t="str">
        <f>IF($A106&lt;DATE(2018,7,1),"-",INDEX('I1 - Universal Data'!$E$16:$V$16, MATCH(YEAR(EOMONTH($A106,6)), 'I1 - Universal Data'!$E$14:$V$14, 0)))</f>
        <v>-</v>
      </c>
      <c r="F106" s="1159" t="str">
        <f>IF($A106&lt;DATE(2018,7,1),"-",INDEX('I1 - Universal Data'!$E$15:$V$15, MATCH(YEAR(EOMONTH($A106,6)), 'I1 - Universal Data'!$E$14:$V$14, 0)))</f>
        <v>-</v>
      </c>
      <c r="G106" s="1160">
        <f t="shared" si="10"/>
        <v>83.4</v>
      </c>
      <c r="H106" s="1160">
        <f t="shared" si="10"/>
        <v>207.3</v>
      </c>
      <c r="U106" s="1148"/>
    </row>
    <row r="107" spans="1:21">
      <c r="A107" s="1157">
        <f t="shared" si="8"/>
        <v>39355</v>
      </c>
      <c r="B107" s="1158">
        <f t="shared" si="6"/>
        <v>2008</v>
      </c>
      <c r="C107" s="1326">
        <v>83.5</v>
      </c>
      <c r="D107" s="1326">
        <v>208</v>
      </c>
      <c r="E107" s="1159" t="str">
        <f>IF($A107&lt;DATE(2018,7,1),"-",INDEX('I1 - Universal Data'!$E$16:$V$16, MATCH(YEAR(EOMONTH($A107,6)), 'I1 - Universal Data'!$E$14:$V$14, 0)))</f>
        <v>-</v>
      </c>
      <c r="F107" s="1159" t="str">
        <f>IF($A107&lt;DATE(2018,7,1),"-",INDEX('I1 - Universal Data'!$E$15:$V$15, MATCH(YEAR(EOMONTH($A107,6)), 'I1 - Universal Data'!$E$14:$V$14, 0)))</f>
        <v>-</v>
      </c>
      <c r="G107" s="1160">
        <f t="shared" si="10"/>
        <v>83.5</v>
      </c>
      <c r="H107" s="1160">
        <f t="shared" si="10"/>
        <v>208</v>
      </c>
      <c r="U107" s="1148"/>
    </row>
    <row r="108" spans="1:21">
      <c r="A108" s="1157">
        <f t="shared" si="8"/>
        <v>39386</v>
      </c>
      <c r="B108" s="1158">
        <f t="shared" si="6"/>
        <v>2008</v>
      </c>
      <c r="C108" s="1326">
        <v>83.8</v>
      </c>
      <c r="D108" s="1326">
        <v>208.9</v>
      </c>
      <c r="E108" s="1159" t="str">
        <f>IF($A108&lt;DATE(2018,7,1),"-",INDEX('I1 - Universal Data'!$E$16:$V$16, MATCH(YEAR(EOMONTH($A108,6)), 'I1 - Universal Data'!$E$14:$V$14, 0)))</f>
        <v>-</v>
      </c>
      <c r="F108" s="1159" t="str">
        <f>IF($A108&lt;DATE(2018,7,1),"-",INDEX('I1 - Universal Data'!$E$15:$V$15, MATCH(YEAR(EOMONTH($A108,6)), 'I1 - Universal Data'!$E$14:$V$14, 0)))</f>
        <v>-</v>
      </c>
      <c r="G108" s="1160">
        <f t="shared" si="10"/>
        <v>83.8</v>
      </c>
      <c r="H108" s="1160">
        <f t="shared" si="10"/>
        <v>208.9</v>
      </c>
      <c r="U108" s="1148"/>
    </row>
    <row r="109" spans="1:21">
      <c r="A109" s="1157">
        <f t="shared" si="8"/>
        <v>39416</v>
      </c>
      <c r="B109" s="1158">
        <f t="shared" si="6"/>
        <v>2008</v>
      </c>
      <c r="C109" s="1326">
        <v>84.1</v>
      </c>
      <c r="D109" s="1326">
        <v>209.7</v>
      </c>
      <c r="E109" s="1159" t="str">
        <f>IF($A109&lt;DATE(2018,7,1),"-",INDEX('I1 - Universal Data'!$E$16:$V$16, MATCH(YEAR(EOMONTH($A109,6)), 'I1 - Universal Data'!$E$14:$V$14, 0)))</f>
        <v>-</v>
      </c>
      <c r="F109" s="1159" t="str">
        <f>IF($A109&lt;DATE(2018,7,1),"-",INDEX('I1 - Universal Data'!$E$15:$V$15, MATCH(YEAR(EOMONTH($A109,6)), 'I1 - Universal Data'!$E$14:$V$14, 0)))</f>
        <v>-</v>
      </c>
      <c r="G109" s="1160">
        <f t="shared" si="10"/>
        <v>84.1</v>
      </c>
      <c r="H109" s="1160">
        <f t="shared" si="10"/>
        <v>209.7</v>
      </c>
      <c r="U109" s="1148"/>
    </row>
    <row r="110" spans="1:21">
      <c r="A110" s="1157">
        <f t="shared" si="8"/>
        <v>39447</v>
      </c>
      <c r="B110" s="1158">
        <f t="shared" si="6"/>
        <v>2008</v>
      </c>
      <c r="C110" s="1326">
        <v>84.5</v>
      </c>
      <c r="D110" s="1326">
        <v>210.9</v>
      </c>
      <c r="E110" s="1159" t="str">
        <f>IF($A110&lt;DATE(2018,7,1),"-",INDEX('I1 - Universal Data'!$E$16:$V$16, MATCH(YEAR(EOMONTH($A110,6)), 'I1 - Universal Data'!$E$14:$V$14, 0)))</f>
        <v>-</v>
      </c>
      <c r="F110" s="1159" t="str">
        <f>IF($A110&lt;DATE(2018,7,1),"-",INDEX('I1 - Universal Data'!$E$15:$V$15, MATCH(YEAR(EOMONTH($A110,6)), 'I1 - Universal Data'!$E$14:$V$14, 0)))</f>
        <v>-</v>
      </c>
      <c r="G110" s="1160">
        <f t="shared" si="10"/>
        <v>84.5</v>
      </c>
      <c r="H110" s="1160">
        <f t="shared" si="10"/>
        <v>210.9</v>
      </c>
      <c r="U110" s="1148"/>
    </row>
    <row r="111" spans="1:21">
      <c r="A111" s="1157">
        <f t="shared" si="8"/>
        <v>39478</v>
      </c>
      <c r="B111" s="1158">
        <f t="shared" si="6"/>
        <v>2008</v>
      </c>
      <c r="C111" s="1326">
        <v>84.1</v>
      </c>
      <c r="D111" s="1326">
        <v>209.8</v>
      </c>
      <c r="E111" s="1159" t="str">
        <f>IF($A111&lt;DATE(2018,7,1),"-",INDEX('I1 - Universal Data'!$E$16:$V$16, MATCH(YEAR(EOMONTH($A111,6)), 'I1 - Universal Data'!$E$14:$V$14, 0)))</f>
        <v>-</v>
      </c>
      <c r="F111" s="1159" t="str">
        <f>IF($A111&lt;DATE(2018,7,1),"-",INDEX('I1 - Universal Data'!$E$15:$V$15, MATCH(YEAR(EOMONTH($A111,6)), 'I1 - Universal Data'!$E$14:$V$14, 0)))</f>
        <v>-</v>
      </c>
      <c r="G111" s="1160">
        <f t="shared" si="10"/>
        <v>84.1</v>
      </c>
      <c r="H111" s="1160">
        <f t="shared" si="10"/>
        <v>209.8</v>
      </c>
      <c r="U111" s="1148"/>
    </row>
    <row r="112" spans="1:21">
      <c r="A112" s="1157">
        <f t="shared" si="8"/>
        <v>39507</v>
      </c>
      <c r="B112" s="1158">
        <f t="shared" si="6"/>
        <v>2008</v>
      </c>
      <c r="C112" s="1326">
        <v>84.6</v>
      </c>
      <c r="D112" s="1326">
        <v>211.4</v>
      </c>
      <c r="E112" s="1159" t="str">
        <f>IF($A112&lt;DATE(2018,7,1),"-",INDEX('I1 - Universal Data'!$E$16:$V$16, MATCH(YEAR(EOMONTH($A112,6)), 'I1 - Universal Data'!$E$14:$V$14, 0)))</f>
        <v>-</v>
      </c>
      <c r="F112" s="1159" t="str">
        <f>IF($A112&lt;DATE(2018,7,1),"-",INDEX('I1 - Universal Data'!$E$15:$V$15, MATCH(YEAR(EOMONTH($A112,6)), 'I1 - Universal Data'!$E$14:$V$14, 0)))</f>
        <v>-</v>
      </c>
      <c r="G112" s="1160">
        <f t="shared" si="10"/>
        <v>84.6</v>
      </c>
      <c r="H112" s="1160">
        <f t="shared" si="10"/>
        <v>211.4</v>
      </c>
      <c r="U112" s="1148"/>
    </row>
    <row r="113" spans="1:21">
      <c r="A113" s="1157">
        <f t="shared" si="8"/>
        <v>39538</v>
      </c>
      <c r="B113" s="1158">
        <f t="shared" si="6"/>
        <v>2008</v>
      </c>
      <c r="C113" s="1326">
        <v>84.9</v>
      </c>
      <c r="D113" s="1326">
        <v>212.1</v>
      </c>
      <c r="E113" s="1159" t="str">
        <f>IF($A113&lt;DATE(2018,7,1),"-",INDEX('I1 - Universal Data'!$E$16:$V$16, MATCH(YEAR(EOMONTH($A113,6)), 'I1 - Universal Data'!$E$14:$V$14, 0)))</f>
        <v>-</v>
      </c>
      <c r="F113" s="1159" t="str">
        <f>IF($A113&lt;DATE(2018,7,1),"-",INDEX('I1 - Universal Data'!$E$15:$V$15, MATCH(YEAR(EOMONTH($A113,6)), 'I1 - Universal Data'!$E$14:$V$14, 0)))</f>
        <v>-</v>
      </c>
      <c r="G113" s="1160">
        <f t="shared" si="10"/>
        <v>84.9</v>
      </c>
      <c r="H113" s="1160">
        <f t="shared" si="10"/>
        <v>212.1</v>
      </c>
      <c r="U113" s="1148"/>
    </row>
    <row r="114" spans="1:21">
      <c r="A114" s="1157">
        <f t="shared" si="8"/>
        <v>39568</v>
      </c>
      <c r="B114" s="1158">
        <f t="shared" si="6"/>
        <v>2009</v>
      </c>
      <c r="C114" s="1326">
        <v>85.6</v>
      </c>
      <c r="D114" s="1326">
        <v>214</v>
      </c>
      <c r="E114" s="1159" t="str">
        <f>IF($A114&lt;DATE(2018,7,1),"-",INDEX('I1 - Universal Data'!$E$16:$V$16, MATCH(YEAR(EOMONTH($A114,6)), 'I1 - Universal Data'!$E$14:$V$14, 0)))</f>
        <v>-</v>
      </c>
      <c r="F114" s="1159" t="str">
        <f>IF($A114&lt;DATE(2018,7,1),"-",INDEX('I1 - Universal Data'!$E$15:$V$15, MATCH(YEAR(EOMONTH($A114,6)), 'I1 - Universal Data'!$E$14:$V$14, 0)))</f>
        <v>-</v>
      </c>
      <c r="G114" s="1160">
        <f t="shared" si="10"/>
        <v>85.6</v>
      </c>
      <c r="H114" s="1160">
        <f t="shared" si="10"/>
        <v>214</v>
      </c>
      <c r="U114" s="1148"/>
    </row>
    <row r="115" spans="1:21">
      <c r="A115" s="1157">
        <f t="shared" si="8"/>
        <v>39599</v>
      </c>
      <c r="B115" s="1158">
        <f t="shared" si="6"/>
        <v>2009</v>
      </c>
      <c r="C115" s="1326">
        <v>86.1</v>
      </c>
      <c r="D115" s="1326">
        <v>215.1</v>
      </c>
      <c r="E115" s="1159" t="str">
        <f>IF($A115&lt;DATE(2018,7,1),"-",INDEX('I1 - Universal Data'!$E$16:$V$16, MATCH(YEAR(EOMONTH($A115,6)), 'I1 - Universal Data'!$E$14:$V$14, 0)))</f>
        <v>-</v>
      </c>
      <c r="F115" s="1159" t="str">
        <f>IF($A115&lt;DATE(2018,7,1),"-",INDEX('I1 - Universal Data'!$E$15:$V$15, MATCH(YEAR(EOMONTH($A115,6)), 'I1 - Universal Data'!$E$14:$V$14, 0)))</f>
        <v>-</v>
      </c>
      <c r="G115" s="1160">
        <f t="shared" si="10"/>
        <v>86.1</v>
      </c>
      <c r="H115" s="1160">
        <f t="shared" si="10"/>
        <v>215.1</v>
      </c>
      <c r="U115" s="1148"/>
    </row>
    <row r="116" spans="1:21">
      <c r="A116" s="1157">
        <f t="shared" si="8"/>
        <v>39629</v>
      </c>
      <c r="B116" s="1158">
        <f t="shared" si="6"/>
        <v>2009</v>
      </c>
      <c r="C116" s="1326">
        <v>86.6</v>
      </c>
      <c r="D116" s="1326">
        <v>216.8</v>
      </c>
      <c r="E116" s="1159" t="str">
        <f>IF($A116&lt;DATE(2018,7,1),"-",INDEX('I1 - Universal Data'!$E$16:$V$16, MATCH(YEAR(EOMONTH($A116,6)), 'I1 - Universal Data'!$E$14:$V$14, 0)))</f>
        <v>-</v>
      </c>
      <c r="F116" s="1159" t="str">
        <f>IF($A116&lt;DATE(2018,7,1),"-",INDEX('I1 - Universal Data'!$E$15:$V$15, MATCH(YEAR(EOMONTH($A116,6)), 'I1 - Universal Data'!$E$14:$V$14, 0)))</f>
        <v>-</v>
      </c>
      <c r="G116" s="1160">
        <f t="shared" si="10"/>
        <v>86.6</v>
      </c>
      <c r="H116" s="1160">
        <f t="shared" si="10"/>
        <v>216.8</v>
      </c>
      <c r="U116" s="1148"/>
    </row>
    <row r="117" spans="1:21">
      <c r="A117" s="1157">
        <f t="shared" si="8"/>
        <v>39660</v>
      </c>
      <c r="B117" s="1158">
        <f t="shared" si="6"/>
        <v>2009</v>
      </c>
      <c r="C117" s="1326">
        <v>86.6</v>
      </c>
      <c r="D117" s="1326">
        <v>216.5</v>
      </c>
      <c r="E117" s="1159" t="str">
        <f>IF($A117&lt;DATE(2018,7,1),"-",INDEX('I1 - Universal Data'!$E$16:$V$16, MATCH(YEAR(EOMONTH($A117,6)), 'I1 - Universal Data'!$E$14:$V$14, 0)))</f>
        <v>-</v>
      </c>
      <c r="F117" s="1159" t="str">
        <f>IF($A117&lt;DATE(2018,7,1),"-",INDEX('I1 - Universal Data'!$E$15:$V$15, MATCH(YEAR(EOMONTH($A117,6)), 'I1 - Universal Data'!$E$14:$V$14, 0)))</f>
        <v>-</v>
      </c>
      <c r="G117" s="1160">
        <f t="shared" si="10"/>
        <v>86.6</v>
      </c>
      <c r="H117" s="1160">
        <f t="shared" si="10"/>
        <v>216.5</v>
      </c>
      <c r="U117" s="1148"/>
    </row>
    <row r="118" spans="1:21">
      <c r="A118" s="1157">
        <f t="shared" si="8"/>
        <v>39691</v>
      </c>
      <c r="B118" s="1158">
        <f t="shared" si="6"/>
        <v>2009</v>
      </c>
      <c r="C118" s="1326">
        <v>87.1</v>
      </c>
      <c r="D118" s="1326">
        <v>217.2</v>
      </c>
      <c r="E118" s="1159" t="str">
        <f>IF($A118&lt;DATE(2018,7,1),"-",INDEX('I1 - Universal Data'!$E$16:$V$16, MATCH(YEAR(EOMONTH($A118,6)), 'I1 - Universal Data'!$E$14:$V$14, 0)))</f>
        <v>-</v>
      </c>
      <c r="F118" s="1159" t="str">
        <f>IF($A118&lt;DATE(2018,7,1),"-",INDEX('I1 - Universal Data'!$E$15:$V$15, MATCH(YEAR(EOMONTH($A118,6)), 'I1 - Universal Data'!$E$14:$V$14, 0)))</f>
        <v>-</v>
      </c>
      <c r="G118" s="1160">
        <f t="shared" ref="G118:H133" si="11">IF(ISBLANK(C118),G117*((1+E118)^(1/12)),C118)</f>
        <v>87.1</v>
      </c>
      <c r="H118" s="1160">
        <f t="shared" si="11"/>
        <v>217.2</v>
      </c>
      <c r="U118" s="1148"/>
    </row>
    <row r="119" spans="1:21">
      <c r="A119" s="1157">
        <f t="shared" si="8"/>
        <v>39721</v>
      </c>
      <c r="B119" s="1158">
        <f t="shared" si="6"/>
        <v>2009</v>
      </c>
      <c r="C119" s="1326">
        <v>87.5</v>
      </c>
      <c r="D119" s="1326">
        <v>218.4</v>
      </c>
      <c r="E119" s="1159" t="str">
        <f>IF($A119&lt;DATE(2018,7,1),"-",INDEX('I1 - Universal Data'!$E$16:$V$16, MATCH(YEAR(EOMONTH($A119,6)), 'I1 - Universal Data'!$E$14:$V$14, 0)))</f>
        <v>-</v>
      </c>
      <c r="F119" s="1159" t="str">
        <f>IF($A119&lt;DATE(2018,7,1),"-",INDEX('I1 - Universal Data'!$E$15:$V$15, MATCH(YEAR(EOMONTH($A119,6)), 'I1 - Universal Data'!$E$14:$V$14, 0)))</f>
        <v>-</v>
      </c>
      <c r="G119" s="1160">
        <f t="shared" si="11"/>
        <v>87.5</v>
      </c>
      <c r="H119" s="1160">
        <f t="shared" si="11"/>
        <v>218.4</v>
      </c>
      <c r="U119" s="1148"/>
    </row>
    <row r="120" spans="1:21">
      <c r="A120" s="1157">
        <f t="shared" si="8"/>
        <v>39752</v>
      </c>
      <c r="B120" s="1158">
        <f t="shared" si="6"/>
        <v>2009</v>
      </c>
      <c r="C120" s="1326">
        <v>87.3</v>
      </c>
      <c r="D120" s="1326">
        <v>217.7</v>
      </c>
      <c r="E120" s="1159" t="str">
        <f>IF($A120&lt;DATE(2018,7,1),"-",INDEX('I1 - Universal Data'!$E$16:$V$16, MATCH(YEAR(EOMONTH($A120,6)), 'I1 - Universal Data'!$E$14:$V$14, 0)))</f>
        <v>-</v>
      </c>
      <c r="F120" s="1159" t="str">
        <f>IF($A120&lt;DATE(2018,7,1),"-",INDEX('I1 - Universal Data'!$E$15:$V$15, MATCH(YEAR(EOMONTH($A120,6)), 'I1 - Universal Data'!$E$14:$V$14, 0)))</f>
        <v>-</v>
      </c>
      <c r="G120" s="1160">
        <f t="shared" si="11"/>
        <v>87.3</v>
      </c>
      <c r="H120" s="1160">
        <f t="shared" si="11"/>
        <v>217.7</v>
      </c>
      <c r="U120" s="1148"/>
    </row>
    <row r="121" spans="1:21">
      <c r="A121" s="1157">
        <f t="shared" si="8"/>
        <v>39782</v>
      </c>
      <c r="B121" s="1158">
        <f t="shared" si="6"/>
        <v>2009</v>
      </c>
      <c r="C121" s="1326">
        <v>87.3</v>
      </c>
      <c r="D121" s="1326">
        <v>216</v>
      </c>
      <c r="E121" s="1159" t="str">
        <f>IF($A121&lt;DATE(2018,7,1),"-",INDEX('I1 - Universal Data'!$E$16:$V$16, MATCH(YEAR(EOMONTH($A121,6)), 'I1 - Universal Data'!$E$14:$V$14, 0)))</f>
        <v>-</v>
      </c>
      <c r="F121" s="1159" t="str">
        <f>IF($A121&lt;DATE(2018,7,1),"-",INDEX('I1 - Universal Data'!$E$15:$V$15, MATCH(YEAR(EOMONTH($A121,6)), 'I1 - Universal Data'!$E$14:$V$14, 0)))</f>
        <v>-</v>
      </c>
      <c r="G121" s="1160">
        <f t="shared" si="11"/>
        <v>87.3</v>
      </c>
      <c r="H121" s="1160">
        <f t="shared" si="11"/>
        <v>216</v>
      </c>
      <c r="U121" s="1148"/>
    </row>
    <row r="122" spans="1:21">
      <c r="A122" s="1157">
        <f t="shared" si="8"/>
        <v>39813</v>
      </c>
      <c r="B122" s="1158">
        <f t="shared" si="6"/>
        <v>2009</v>
      </c>
      <c r="C122" s="1326">
        <v>87.1</v>
      </c>
      <c r="D122" s="1326">
        <v>212.9</v>
      </c>
      <c r="E122" s="1159" t="str">
        <f>IF($A122&lt;DATE(2018,7,1),"-",INDEX('I1 - Universal Data'!$E$16:$V$16, MATCH(YEAR(EOMONTH($A122,6)), 'I1 - Universal Data'!$E$14:$V$14, 0)))</f>
        <v>-</v>
      </c>
      <c r="F122" s="1159" t="str">
        <f>IF($A122&lt;DATE(2018,7,1),"-",INDEX('I1 - Universal Data'!$E$15:$V$15, MATCH(YEAR(EOMONTH($A122,6)), 'I1 - Universal Data'!$E$14:$V$14, 0)))</f>
        <v>-</v>
      </c>
      <c r="G122" s="1160">
        <f t="shared" si="11"/>
        <v>87.1</v>
      </c>
      <c r="H122" s="1160">
        <f t="shared" si="11"/>
        <v>212.9</v>
      </c>
      <c r="U122" s="1148"/>
    </row>
    <row r="123" spans="1:21">
      <c r="A123" s="1157">
        <f t="shared" si="8"/>
        <v>39844</v>
      </c>
      <c r="B123" s="1158">
        <f t="shared" si="6"/>
        <v>2009</v>
      </c>
      <c r="C123" s="1326">
        <v>86.6</v>
      </c>
      <c r="D123" s="1326">
        <v>210.1</v>
      </c>
      <c r="E123" s="1159" t="str">
        <f>IF($A123&lt;DATE(2018,7,1),"-",INDEX('I1 - Universal Data'!$E$16:$V$16, MATCH(YEAR(EOMONTH($A123,6)), 'I1 - Universal Data'!$E$14:$V$14, 0)))</f>
        <v>-</v>
      </c>
      <c r="F123" s="1159" t="str">
        <f>IF($A123&lt;DATE(2018,7,1),"-",INDEX('I1 - Universal Data'!$E$15:$V$15, MATCH(YEAR(EOMONTH($A123,6)), 'I1 - Universal Data'!$E$14:$V$14, 0)))</f>
        <v>-</v>
      </c>
      <c r="G123" s="1160">
        <f t="shared" si="11"/>
        <v>86.6</v>
      </c>
      <c r="H123" s="1160">
        <f t="shared" si="11"/>
        <v>210.1</v>
      </c>
      <c r="U123" s="1148"/>
    </row>
    <row r="124" spans="1:21">
      <c r="A124" s="1157">
        <f t="shared" si="8"/>
        <v>39872</v>
      </c>
      <c r="B124" s="1158">
        <f t="shared" si="6"/>
        <v>2009</v>
      </c>
      <c r="C124" s="1326">
        <v>87.2</v>
      </c>
      <c r="D124" s="1326">
        <v>211.4</v>
      </c>
      <c r="E124" s="1159" t="str">
        <f>IF($A124&lt;DATE(2018,7,1),"-",INDEX('I1 - Universal Data'!$E$16:$V$16, MATCH(YEAR(EOMONTH($A124,6)), 'I1 - Universal Data'!$E$14:$V$14, 0)))</f>
        <v>-</v>
      </c>
      <c r="F124" s="1159" t="str">
        <f>IF($A124&lt;DATE(2018,7,1),"-",INDEX('I1 - Universal Data'!$E$15:$V$15, MATCH(YEAR(EOMONTH($A124,6)), 'I1 - Universal Data'!$E$14:$V$14, 0)))</f>
        <v>-</v>
      </c>
      <c r="G124" s="1160">
        <f t="shared" si="11"/>
        <v>87.2</v>
      </c>
      <c r="H124" s="1160">
        <f t="shared" si="11"/>
        <v>211.4</v>
      </c>
      <c r="U124" s="1148"/>
    </row>
    <row r="125" spans="1:21">
      <c r="A125" s="1157">
        <f t="shared" si="8"/>
        <v>39903</v>
      </c>
      <c r="B125" s="1158">
        <f t="shared" si="6"/>
        <v>2009</v>
      </c>
      <c r="C125" s="1326">
        <v>87.3</v>
      </c>
      <c r="D125" s="1326">
        <v>211.3</v>
      </c>
      <c r="E125" s="1159" t="str">
        <f>IF($A125&lt;DATE(2018,7,1),"-",INDEX('I1 - Universal Data'!$E$16:$V$16, MATCH(YEAR(EOMONTH($A125,6)), 'I1 - Universal Data'!$E$14:$V$14, 0)))</f>
        <v>-</v>
      </c>
      <c r="F125" s="1159" t="str">
        <f>IF($A125&lt;DATE(2018,7,1),"-",INDEX('I1 - Universal Data'!$E$15:$V$15, MATCH(YEAR(EOMONTH($A125,6)), 'I1 - Universal Data'!$E$14:$V$14, 0)))</f>
        <v>-</v>
      </c>
      <c r="G125" s="1160">
        <f t="shared" si="11"/>
        <v>87.3</v>
      </c>
      <c r="H125" s="1160">
        <f t="shared" si="11"/>
        <v>211.3</v>
      </c>
      <c r="U125" s="1148"/>
    </row>
    <row r="126" spans="1:21">
      <c r="A126" s="1157">
        <f t="shared" si="8"/>
        <v>39933</v>
      </c>
      <c r="B126" s="1158">
        <f t="shared" si="6"/>
        <v>2010</v>
      </c>
      <c r="C126" s="1326">
        <v>87.5</v>
      </c>
      <c r="D126" s="1326">
        <v>211.5</v>
      </c>
      <c r="E126" s="1159" t="str">
        <f>IF($A126&lt;DATE(2018,7,1),"-",INDEX('I1 - Universal Data'!$E$16:$V$16, MATCH(YEAR(EOMONTH($A126,6)), 'I1 - Universal Data'!$E$14:$V$14, 0)))</f>
        <v>-</v>
      </c>
      <c r="F126" s="1159" t="str">
        <f>IF($A126&lt;DATE(2018,7,1),"-",INDEX('I1 - Universal Data'!$E$15:$V$15, MATCH(YEAR(EOMONTH($A126,6)), 'I1 - Universal Data'!$E$14:$V$14, 0)))</f>
        <v>-</v>
      </c>
      <c r="G126" s="1160">
        <f t="shared" si="11"/>
        <v>87.5</v>
      </c>
      <c r="H126" s="1160">
        <f t="shared" si="11"/>
        <v>211.5</v>
      </c>
      <c r="U126" s="1148"/>
    </row>
    <row r="127" spans="1:21">
      <c r="A127" s="1157">
        <f t="shared" si="8"/>
        <v>39964</v>
      </c>
      <c r="B127" s="1158">
        <f t="shared" si="6"/>
        <v>2010</v>
      </c>
      <c r="C127" s="1326">
        <v>87.9</v>
      </c>
      <c r="D127" s="1326">
        <v>212.8</v>
      </c>
      <c r="E127" s="1159" t="str">
        <f>IF($A127&lt;DATE(2018,7,1),"-",INDEX('I1 - Universal Data'!$E$16:$V$16, MATCH(YEAR(EOMONTH($A127,6)), 'I1 - Universal Data'!$E$14:$V$14, 0)))</f>
        <v>-</v>
      </c>
      <c r="F127" s="1159" t="str">
        <f>IF($A127&lt;DATE(2018,7,1),"-",INDEX('I1 - Universal Data'!$E$15:$V$15, MATCH(YEAR(EOMONTH($A127,6)), 'I1 - Universal Data'!$E$14:$V$14, 0)))</f>
        <v>-</v>
      </c>
      <c r="G127" s="1160">
        <f t="shared" si="11"/>
        <v>87.9</v>
      </c>
      <c r="H127" s="1160">
        <f t="shared" si="11"/>
        <v>212.8</v>
      </c>
      <c r="U127" s="1148"/>
    </row>
    <row r="128" spans="1:21">
      <c r="A128" s="1157">
        <f t="shared" si="8"/>
        <v>39994</v>
      </c>
      <c r="B128" s="1158">
        <f t="shared" si="6"/>
        <v>2010</v>
      </c>
      <c r="C128" s="1326">
        <v>88.1</v>
      </c>
      <c r="D128" s="1326">
        <v>213.4</v>
      </c>
      <c r="E128" s="1159" t="str">
        <f>IF($A128&lt;DATE(2018,7,1),"-",INDEX('I1 - Universal Data'!$E$16:$V$16, MATCH(YEAR(EOMONTH($A128,6)), 'I1 - Universal Data'!$E$14:$V$14, 0)))</f>
        <v>-</v>
      </c>
      <c r="F128" s="1159" t="str">
        <f>IF($A128&lt;DATE(2018,7,1),"-",INDEX('I1 - Universal Data'!$E$15:$V$15, MATCH(YEAR(EOMONTH($A128,6)), 'I1 - Universal Data'!$E$14:$V$14, 0)))</f>
        <v>-</v>
      </c>
      <c r="G128" s="1160">
        <f t="shared" si="11"/>
        <v>88.1</v>
      </c>
      <c r="H128" s="1160">
        <f t="shared" si="11"/>
        <v>213.4</v>
      </c>
      <c r="U128" s="1148"/>
    </row>
    <row r="129" spans="1:21">
      <c r="A129" s="1157">
        <f t="shared" si="8"/>
        <v>40025</v>
      </c>
      <c r="B129" s="1158">
        <f t="shared" si="6"/>
        <v>2010</v>
      </c>
      <c r="C129" s="1326">
        <v>88</v>
      </c>
      <c r="D129" s="1326">
        <v>213.4</v>
      </c>
      <c r="E129" s="1159" t="str">
        <f>IF($A129&lt;DATE(2018,7,1),"-",INDEX('I1 - Universal Data'!$E$16:$V$16, MATCH(YEAR(EOMONTH($A129,6)), 'I1 - Universal Data'!$E$14:$V$14, 0)))</f>
        <v>-</v>
      </c>
      <c r="F129" s="1159" t="str">
        <f>IF($A129&lt;DATE(2018,7,1),"-",INDEX('I1 - Universal Data'!$E$15:$V$15, MATCH(YEAR(EOMONTH($A129,6)), 'I1 - Universal Data'!$E$14:$V$14, 0)))</f>
        <v>-</v>
      </c>
      <c r="G129" s="1160">
        <f t="shared" si="11"/>
        <v>88</v>
      </c>
      <c r="H129" s="1160">
        <f t="shared" si="11"/>
        <v>213.4</v>
      </c>
      <c r="U129" s="1148"/>
    </row>
    <row r="130" spans="1:21">
      <c r="A130" s="1157">
        <f t="shared" si="8"/>
        <v>40056</v>
      </c>
      <c r="B130" s="1158">
        <f t="shared" si="6"/>
        <v>2010</v>
      </c>
      <c r="C130" s="1326">
        <v>88.3</v>
      </c>
      <c r="D130" s="1326">
        <v>214.4</v>
      </c>
      <c r="E130" s="1159" t="str">
        <f>IF($A130&lt;DATE(2018,7,1),"-",INDEX('I1 - Universal Data'!$E$16:$V$16, MATCH(YEAR(EOMONTH($A130,6)), 'I1 - Universal Data'!$E$14:$V$14, 0)))</f>
        <v>-</v>
      </c>
      <c r="F130" s="1159" t="str">
        <f>IF($A130&lt;DATE(2018,7,1),"-",INDEX('I1 - Universal Data'!$E$15:$V$15, MATCH(YEAR(EOMONTH($A130,6)), 'I1 - Universal Data'!$E$14:$V$14, 0)))</f>
        <v>-</v>
      </c>
      <c r="G130" s="1160">
        <f t="shared" si="11"/>
        <v>88.3</v>
      </c>
      <c r="H130" s="1160">
        <f t="shared" si="11"/>
        <v>214.4</v>
      </c>
      <c r="U130" s="1148"/>
    </row>
    <row r="131" spans="1:21">
      <c r="A131" s="1157">
        <f t="shared" si="8"/>
        <v>40086</v>
      </c>
      <c r="B131" s="1158">
        <f t="shared" si="6"/>
        <v>2010</v>
      </c>
      <c r="C131" s="1326">
        <v>88.3</v>
      </c>
      <c r="D131" s="1326">
        <v>215.3</v>
      </c>
      <c r="E131" s="1159" t="str">
        <f>IF($A131&lt;DATE(2018,7,1),"-",INDEX('I1 - Universal Data'!$E$16:$V$16, MATCH(YEAR(EOMONTH($A131,6)), 'I1 - Universal Data'!$E$14:$V$14, 0)))</f>
        <v>-</v>
      </c>
      <c r="F131" s="1159" t="str">
        <f>IF($A131&lt;DATE(2018,7,1),"-",INDEX('I1 - Universal Data'!$E$15:$V$15, MATCH(YEAR(EOMONTH($A131,6)), 'I1 - Universal Data'!$E$14:$V$14, 0)))</f>
        <v>-</v>
      </c>
      <c r="G131" s="1160">
        <f t="shared" si="11"/>
        <v>88.3</v>
      </c>
      <c r="H131" s="1160">
        <f t="shared" si="11"/>
        <v>215.3</v>
      </c>
      <c r="U131" s="1148"/>
    </row>
    <row r="132" spans="1:21">
      <c r="A132" s="1157">
        <f t="shared" si="8"/>
        <v>40117</v>
      </c>
      <c r="B132" s="1158">
        <f t="shared" si="6"/>
        <v>2010</v>
      </c>
      <c r="C132" s="1326">
        <v>88.4</v>
      </c>
      <c r="D132" s="1326">
        <v>216</v>
      </c>
      <c r="E132" s="1159" t="str">
        <f>IF($A132&lt;DATE(2018,7,1),"-",INDEX('I1 - Universal Data'!$E$16:$V$16, MATCH(YEAR(EOMONTH($A132,6)), 'I1 - Universal Data'!$E$14:$V$14, 0)))</f>
        <v>-</v>
      </c>
      <c r="F132" s="1159" t="str">
        <f>IF($A132&lt;DATE(2018,7,1),"-",INDEX('I1 - Universal Data'!$E$15:$V$15, MATCH(YEAR(EOMONTH($A132,6)), 'I1 - Universal Data'!$E$14:$V$14, 0)))</f>
        <v>-</v>
      </c>
      <c r="G132" s="1160">
        <f t="shared" si="11"/>
        <v>88.4</v>
      </c>
      <c r="H132" s="1160">
        <f t="shared" si="11"/>
        <v>216</v>
      </c>
      <c r="U132" s="1148"/>
    </row>
    <row r="133" spans="1:21">
      <c r="A133" s="1157">
        <f t="shared" si="8"/>
        <v>40147</v>
      </c>
      <c r="B133" s="1158">
        <f t="shared" si="6"/>
        <v>2010</v>
      </c>
      <c r="C133" s="1326">
        <v>88.6</v>
      </c>
      <c r="D133" s="1326">
        <v>216.6</v>
      </c>
      <c r="E133" s="1159" t="str">
        <f>IF($A133&lt;DATE(2018,7,1),"-",INDEX('I1 - Universal Data'!$E$16:$V$16, MATCH(YEAR(EOMONTH($A133,6)), 'I1 - Universal Data'!$E$14:$V$14, 0)))</f>
        <v>-</v>
      </c>
      <c r="F133" s="1159" t="str">
        <f>IF($A133&lt;DATE(2018,7,1),"-",INDEX('I1 - Universal Data'!$E$15:$V$15, MATCH(YEAR(EOMONTH($A133,6)), 'I1 - Universal Data'!$E$14:$V$14, 0)))</f>
        <v>-</v>
      </c>
      <c r="G133" s="1160">
        <f t="shared" si="11"/>
        <v>88.6</v>
      </c>
      <c r="H133" s="1160">
        <f t="shared" si="11"/>
        <v>216.6</v>
      </c>
      <c r="U133" s="1148"/>
    </row>
    <row r="134" spans="1:21">
      <c r="A134" s="1157">
        <f t="shared" si="8"/>
        <v>40178</v>
      </c>
      <c r="B134" s="1158">
        <f t="shared" ref="B134:B197" si="12">IF(MONTH(A134)&gt;=4,YEAR(A134)+1,YEAR(A134))</f>
        <v>2010</v>
      </c>
      <c r="C134" s="1326">
        <v>88.9</v>
      </c>
      <c r="D134" s="1326">
        <v>218</v>
      </c>
      <c r="E134" s="1159" t="str">
        <f>IF($A134&lt;DATE(2018,7,1),"-",INDEX('I1 - Universal Data'!$E$16:$V$16, MATCH(YEAR(EOMONTH($A134,6)), 'I1 - Universal Data'!$E$14:$V$14, 0)))</f>
        <v>-</v>
      </c>
      <c r="F134" s="1159" t="str">
        <f>IF($A134&lt;DATE(2018,7,1),"-",INDEX('I1 - Universal Data'!$E$15:$V$15, MATCH(YEAR(EOMONTH($A134,6)), 'I1 - Universal Data'!$E$14:$V$14, 0)))</f>
        <v>-</v>
      </c>
      <c r="G134" s="1160">
        <f t="shared" ref="G134:H149" si="13">IF(ISBLANK(C134),G133*((1+E134)^(1/12)),C134)</f>
        <v>88.9</v>
      </c>
      <c r="H134" s="1160">
        <f t="shared" si="13"/>
        <v>218</v>
      </c>
      <c r="U134" s="1148"/>
    </row>
    <row r="135" spans="1:21">
      <c r="A135" s="1157">
        <f t="shared" ref="A135:A198" si="14">IF(MONTH(A134) = 12, EOMONTH(DATE(YEAR(A134) + 1, 1, 1), 0), EOMONTH(DATE(YEAR(A134), MONTH(A134) + 1, 1), 0))</f>
        <v>40209</v>
      </c>
      <c r="B135" s="1158">
        <f t="shared" si="12"/>
        <v>2010</v>
      </c>
      <c r="C135" s="1326">
        <v>88.8</v>
      </c>
      <c r="D135" s="1326">
        <v>217.9</v>
      </c>
      <c r="E135" s="1159" t="str">
        <f>IF($A135&lt;DATE(2018,7,1),"-",INDEX('I1 - Universal Data'!$E$16:$V$16, MATCH(YEAR(EOMONTH($A135,6)), 'I1 - Universal Data'!$E$14:$V$14, 0)))</f>
        <v>-</v>
      </c>
      <c r="F135" s="1159" t="str">
        <f>IF($A135&lt;DATE(2018,7,1),"-",INDEX('I1 - Universal Data'!$E$15:$V$15, MATCH(YEAR(EOMONTH($A135,6)), 'I1 - Universal Data'!$E$14:$V$14, 0)))</f>
        <v>-</v>
      </c>
      <c r="G135" s="1160">
        <f t="shared" si="13"/>
        <v>88.8</v>
      </c>
      <c r="H135" s="1160">
        <f t="shared" si="13"/>
        <v>217.9</v>
      </c>
      <c r="U135" s="1148"/>
    </row>
    <row r="136" spans="1:21">
      <c r="A136" s="1157">
        <f t="shared" si="14"/>
        <v>40237</v>
      </c>
      <c r="B136" s="1158">
        <f t="shared" si="12"/>
        <v>2010</v>
      </c>
      <c r="C136" s="1326">
        <v>89</v>
      </c>
      <c r="D136" s="1326">
        <v>219.2</v>
      </c>
      <c r="E136" s="1159" t="str">
        <f>IF($A136&lt;DATE(2018,7,1),"-",INDEX('I1 - Universal Data'!$E$16:$V$16, MATCH(YEAR(EOMONTH($A136,6)), 'I1 - Universal Data'!$E$14:$V$14, 0)))</f>
        <v>-</v>
      </c>
      <c r="F136" s="1159" t="str">
        <f>IF($A136&lt;DATE(2018,7,1),"-",INDEX('I1 - Universal Data'!$E$15:$V$15, MATCH(YEAR(EOMONTH($A136,6)), 'I1 - Universal Data'!$E$14:$V$14, 0)))</f>
        <v>-</v>
      </c>
      <c r="G136" s="1160">
        <f t="shared" si="13"/>
        <v>89</v>
      </c>
      <c r="H136" s="1160">
        <f t="shared" si="13"/>
        <v>219.2</v>
      </c>
      <c r="U136" s="1148"/>
    </row>
    <row r="137" spans="1:21">
      <c r="A137" s="1157">
        <f t="shared" si="14"/>
        <v>40268</v>
      </c>
      <c r="B137" s="1158">
        <f t="shared" si="12"/>
        <v>2010</v>
      </c>
      <c r="C137" s="1326">
        <v>89.4</v>
      </c>
      <c r="D137" s="1326">
        <v>220.7</v>
      </c>
      <c r="E137" s="1159" t="str">
        <f>IF($A137&lt;DATE(2018,7,1),"-",INDEX('I1 - Universal Data'!$E$16:$V$16, MATCH(YEAR(EOMONTH($A137,6)), 'I1 - Universal Data'!$E$14:$V$14, 0)))</f>
        <v>-</v>
      </c>
      <c r="F137" s="1159" t="str">
        <f>IF($A137&lt;DATE(2018,7,1),"-",INDEX('I1 - Universal Data'!$E$15:$V$15, MATCH(YEAR(EOMONTH($A137,6)), 'I1 - Universal Data'!$E$14:$V$14, 0)))</f>
        <v>-</v>
      </c>
      <c r="G137" s="1160">
        <f t="shared" si="13"/>
        <v>89.4</v>
      </c>
      <c r="H137" s="1160">
        <f t="shared" si="13"/>
        <v>220.7</v>
      </c>
      <c r="U137" s="1148"/>
    </row>
    <row r="138" spans="1:21">
      <c r="A138" s="1157">
        <f t="shared" si="14"/>
        <v>40298</v>
      </c>
      <c r="B138" s="1158">
        <f t="shared" si="12"/>
        <v>2011</v>
      </c>
      <c r="C138" s="1326">
        <v>89.9</v>
      </c>
      <c r="D138" s="1326">
        <v>222.8</v>
      </c>
      <c r="E138" s="1159" t="str">
        <f>IF($A138&lt;DATE(2018,7,1),"-",INDEX('I1 - Universal Data'!$E$16:$V$16, MATCH(YEAR(EOMONTH($A138,6)), 'I1 - Universal Data'!$E$14:$V$14, 0)))</f>
        <v>-</v>
      </c>
      <c r="F138" s="1159" t="str">
        <f>IF($A138&lt;DATE(2018,7,1),"-",INDEX('I1 - Universal Data'!$E$15:$V$15, MATCH(YEAR(EOMONTH($A138,6)), 'I1 - Universal Data'!$E$14:$V$14, 0)))</f>
        <v>-</v>
      </c>
      <c r="G138" s="1160">
        <f t="shared" si="13"/>
        <v>89.9</v>
      </c>
      <c r="H138" s="1160">
        <f t="shared" si="13"/>
        <v>222.8</v>
      </c>
      <c r="U138" s="1148"/>
    </row>
    <row r="139" spans="1:21">
      <c r="A139" s="1157">
        <f t="shared" si="14"/>
        <v>40329</v>
      </c>
      <c r="B139" s="1158">
        <f t="shared" si="12"/>
        <v>2011</v>
      </c>
      <c r="C139" s="1326">
        <v>90.1</v>
      </c>
      <c r="D139" s="1326">
        <v>223.6</v>
      </c>
      <c r="E139" s="1159" t="str">
        <f>IF($A139&lt;DATE(2018,7,1),"-",INDEX('I1 - Universal Data'!$E$16:$V$16, MATCH(YEAR(EOMONTH($A139,6)), 'I1 - Universal Data'!$E$14:$V$14, 0)))</f>
        <v>-</v>
      </c>
      <c r="F139" s="1159" t="str">
        <f>IF($A139&lt;DATE(2018,7,1),"-",INDEX('I1 - Universal Data'!$E$15:$V$15, MATCH(YEAR(EOMONTH($A139,6)), 'I1 - Universal Data'!$E$14:$V$14, 0)))</f>
        <v>-</v>
      </c>
      <c r="G139" s="1160">
        <f t="shared" si="13"/>
        <v>90.1</v>
      </c>
      <c r="H139" s="1160">
        <f t="shared" si="13"/>
        <v>223.6</v>
      </c>
      <c r="U139" s="1148"/>
    </row>
    <row r="140" spans="1:21">
      <c r="A140" s="1157">
        <f t="shared" si="14"/>
        <v>40359</v>
      </c>
      <c r="B140" s="1158">
        <f t="shared" si="12"/>
        <v>2011</v>
      </c>
      <c r="C140" s="1326">
        <v>90.2</v>
      </c>
      <c r="D140" s="1326">
        <v>224.1</v>
      </c>
      <c r="E140" s="1159" t="str">
        <f>IF($A140&lt;DATE(2018,7,1),"-",INDEX('I1 - Universal Data'!$E$16:$V$16, MATCH(YEAR(EOMONTH($A140,6)), 'I1 - Universal Data'!$E$14:$V$14, 0)))</f>
        <v>-</v>
      </c>
      <c r="F140" s="1159" t="str">
        <f>IF($A140&lt;DATE(2018,7,1),"-",INDEX('I1 - Universal Data'!$E$15:$V$15, MATCH(YEAR(EOMONTH($A140,6)), 'I1 - Universal Data'!$E$14:$V$14, 0)))</f>
        <v>-</v>
      </c>
      <c r="G140" s="1160">
        <f t="shared" si="13"/>
        <v>90.2</v>
      </c>
      <c r="H140" s="1160">
        <f t="shared" si="13"/>
        <v>224.1</v>
      </c>
      <c r="U140" s="1148"/>
    </row>
    <row r="141" spans="1:21">
      <c r="A141" s="1157">
        <f t="shared" si="14"/>
        <v>40390</v>
      </c>
      <c r="B141" s="1158">
        <f t="shared" si="12"/>
        <v>2011</v>
      </c>
      <c r="C141" s="1326">
        <v>90</v>
      </c>
      <c r="D141" s="1326">
        <v>223.6</v>
      </c>
      <c r="E141" s="1159" t="str">
        <f>IF($A141&lt;DATE(2018,7,1),"-",INDEX('I1 - Universal Data'!$E$16:$V$16, MATCH(YEAR(EOMONTH($A141,6)), 'I1 - Universal Data'!$E$14:$V$14, 0)))</f>
        <v>-</v>
      </c>
      <c r="F141" s="1159" t="str">
        <f>IF($A141&lt;DATE(2018,7,1),"-",INDEX('I1 - Universal Data'!$E$15:$V$15, MATCH(YEAR(EOMONTH($A141,6)), 'I1 - Universal Data'!$E$14:$V$14, 0)))</f>
        <v>-</v>
      </c>
      <c r="G141" s="1160">
        <f t="shared" si="13"/>
        <v>90</v>
      </c>
      <c r="H141" s="1160">
        <f t="shared" si="13"/>
        <v>223.6</v>
      </c>
      <c r="U141" s="1148"/>
    </row>
    <row r="142" spans="1:21">
      <c r="A142" s="1157">
        <f t="shared" si="14"/>
        <v>40421</v>
      </c>
      <c r="B142" s="1158">
        <f t="shared" si="12"/>
        <v>2011</v>
      </c>
      <c r="C142" s="1326">
        <v>90.4</v>
      </c>
      <c r="D142" s="1326">
        <v>224.5</v>
      </c>
      <c r="E142" s="1159" t="str">
        <f>IF($A142&lt;DATE(2018,7,1),"-",INDEX('I1 - Universal Data'!$E$16:$V$16, MATCH(YEAR(EOMONTH($A142,6)), 'I1 - Universal Data'!$E$14:$V$14, 0)))</f>
        <v>-</v>
      </c>
      <c r="F142" s="1159" t="str">
        <f>IF($A142&lt;DATE(2018,7,1),"-",INDEX('I1 - Universal Data'!$E$15:$V$15, MATCH(YEAR(EOMONTH($A142,6)), 'I1 - Universal Data'!$E$14:$V$14, 0)))</f>
        <v>-</v>
      </c>
      <c r="G142" s="1160">
        <f t="shared" si="13"/>
        <v>90.4</v>
      </c>
      <c r="H142" s="1160">
        <f t="shared" si="13"/>
        <v>224.5</v>
      </c>
      <c r="U142" s="1148"/>
    </row>
    <row r="143" spans="1:21">
      <c r="A143" s="1157">
        <f t="shared" si="14"/>
        <v>40451</v>
      </c>
      <c r="B143" s="1158">
        <f t="shared" si="12"/>
        <v>2011</v>
      </c>
      <c r="C143" s="1326">
        <v>90.4</v>
      </c>
      <c r="D143" s="1326">
        <v>225.3</v>
      </c>
      <c r="E143" s="1159" t="str">
        <f>IF($A143&lt;DATE(2018,7,1),"-",INDEX('I1 - Universal Data'!$E$16:$V$16, MATCH(YEAR(EOMONTH($A143,6)), 'I1 - Universal Data'!$E$14:$V$14, 0)))</f>
        <v>-</v>
      </c>
      <c r="F143" s="1159" t="str">
        <f>IF($A143&lt;DATE(2018,7,1),"-",INDEX('I1 - Universal Data'!$E$15:$V$15, MATCH(YEAR(EOMONTH($A143,6)), 'I1 - Universal Data'!$E$14:$V$14, 0)))</f>
        <v>-</v>
      </c>
      <c r="G143" s="1160">
        <f t="shared" si="13"/>
        <v>90.4</v>
      </c>
      <c r="H143" s="1160">
        <f t="shared" si="13"/>
        <v>225.3</v>
      </c>
      <c r="U143" s="1148"/>
    </row>
    <row r="144" spans="1:21">
      <c r="A144" s="1157">
        <f t="shared" si="14"/>
        <v>40482</v>
      </c>
      <c r="B144" s="1158">
        <f t="shared" si="12"/>
        <v>2011</v>
      </c>
      <c r="C144" s="1326">
        <v>90.6</v>
      </c>
      <c r="D144" s="1326">
        <v>225.8</v>
      </c>
      <c r="E144" s="1159" t="str">
        <f>IF($A144&lt;DATE(2018,7,1),"-",INDEX('I1 - Universal Data'!$E$16:$V$16, MATCH(YEAR(EOMONTH($A144,6)), 'I1 - Universal Data'!$E$14:$V$14, 0)))</f>
        <v>-</v>
      </c>
      <c r="F144" s="1159" t="str">
        <f>IF($A144&lt;DATE(2018,7,1),"-",INDEX('I1 - Universal Data'!$E$15:$V$15, MATCH(YEAR(EOMONTH($A144,6)), 'I1 - Universal Data'!$E$14:$V$14, 0)))</f>
        <v>-</v>
      </c>
      <c r="G144" s="1160">
        <f t="shared" si="13"/>
        <v>90.6</v>
      </c>
      <c r="H144" s="1160">
        <f t="shared" si="13"/>
        <v>225.8</v>
      </c>
      <c r="U144" s="1148"/>
    </row>
    <row r="145" spans="1:21">
      <c r="A145" s="1157">
        <f t="shared" si="14"/>
        <v>40512</v>
      </c>
      <c r="B145" s="1158">
        <f t="shared" si="12"/>
        <v>2011</v>
      </c>
      <c r="C145" s="1326">
        <v>90.9</v>
      </c>
      <c r="D145" s="1326">
        <v>226.8</v>
      </c>
      <c r="E145" s="1159" t="str">
        <f>IF($A145&lt;DATE(2018,7,1),"-",INDEX('I1 - Universal Data'!$E$16:$V$16, MATCH(YEAR(EOMONTH($A145,6)), 'I1 - Universal Data'!$E$14:$V$14, 0)))</f>
        <v>-</v>
      </c>
      <c r="F145" s="1159" t="str">
        <f>IF($A145&lt;DATE(2018,7,1),"-",INDEX('I1 - Universal Data'!$E$15:$V$15, MATCH(YEAR(EOMONTH($A145,6)), 'I1 - Universal Data'!$E$14:$V$14, 0)))</f>
        <v>-</v>
      </c>
      <c r="G145" s="1160">
        <f t="shared" si="13"/>
        <v>90.9</v>
      </c>
      <c r="H145" s="1160">
        <f t="shared" si="13"/>
        <v>226.8</v>
      </c>
      <c r="U145" s="1148"/>
    </row>
    <row r="146" spans="1:21">
      <c r="A146" s="1157">
        <f t="shared" si="14"/>
        <v>40543</v>
      </c>
      <c r="B146" s="1158">
        <f t="shared" si="12"/>
        <v>2011</v>
      </c>
      <c r="C146" s="1326">
        <v>91.7</v>
      </c>
      <c r="D146" s="1326">
        <v>228.4</v>
      </c>
      <c r="E146" s="1159" t="str">
        <f>IF($A146&lt;DATE(2018,7,1),"-",INDEX('I1 - Universal Data'!$E$16:$V$16, MATCH(YEAR(EOMONTH($A146,6)), 'I1 - Universal Data'!$E$14:$V$14, 0)))</f>
        <v>-</v>
      </c>
      <c r="F146" s="1159" t="str">
        <f>IF($A146&lt;DATE(2018,7,1),"-",INDEX('I1 - Universal Data'!$E$15:$V$15, MATCH(YEAR(EOMONTH($A146,6)), 'I1 - Universal Data'!$E$14:$V$14, 0)))</f>
        <v>-</v>
      </c>
      <c r="G146" s="1160">
        <f t="shared" si="13"/>
        <v>91.7</v>
      </c>
      <c r="H146" s="1160">
        <f t="shared" si="13"/>
        <v>228.4</v>
      </c>
      <c r="U146" s="1148"/>
    </row>
    <row r="147" spans="1:21">
      <c r="A147" s="1157">
        <f t="shared" si="14"/>
        <v>40574</v>
      </c>
      <c r="B147" s="1158">
        <f t="shared" si="12"/>
        <v>2011</v>
      </c>
      <c r="C147" s="1326">
        <v>91.8</v>
      </c>
      <c r="D147" s="1326">
        <v>229</v>
      </c>
      <c r="E147" s="1159" t="str">
        <f>IF($A147&lt;DATE(2018,7,1),"-",INDEX('I1 - Universal Data'!$E$16:$V$16, MATCH(YEAR(EOMONTH($A147,6)), 'I1 - Universal Data'!$E$14:$V$14, 0)))</f>
        <v>-</v>
      </c>
      <c r="F147" s="1159" t="str">
        <f>IF($A147&lt;DATE(2018,7,1),"-",INDEX('I1 - Universal Data'!$E$15:$V$15, MATCH(YEAR(EOMONTH($A147,6)), 'I1 - Universal Data'!$E$14:$V$14, 0)))</f>
        <v>-</v>
      </c>
      <c r="G147" s="1160">
        <f t="shared" si="13"/>
        <v>91.8</v>
      </c>
      <c r="H147" s="1160">
        <f t="shared" si="13"/>
        <v>229</v>
      </c>
      <c r="U147" s="1148"/>
    </row>
    <row r="148" spans="1:21">
      <c r="A148" s="1157">
        <f t="shared" si="14"/>
        <v>40602</v>
      </c>
      <c r="B148" s="1158">
        <f t="shared" si="12"/>
        <v>2011</v>
      </c>
      <c r="C148" s="1326">
        <v>92.3</v>
      </c>
      <c r="D148" s="1326">
        <v>231.3</v>
      </c>
      <c r="E148" s="1159" t="str">
        <f>IF($A148&lt;DATE(2018,7,1),"-",INDEX('I1 - Universal Data'!$E$16:$V$16, MATCH(YEAR(EOMONTH($A148,6)), 'I1 - Universal Data'!$E$14:$V$14, 0)))</f>
        <v>-</v>
      </c>
      <c r="F148" s="1159" t="str">
        <f>IF($A148&lt;DATE(2018,7,1),"-",INDEX('I1 - Universal Data'!$E$15:$V$15, MATCH(YEAR(EOMONTH($A148,6)), 'I1 - Universal Data'!$E$14:$V$14, 0)))</f>
        <v>-</v>
      </c>
      <c r="G148" s="1160">
        <f t="shared" si="13"/>
        <v>92.3</v>
      </c>
      <c r="H148" s="1160">
        <f t="shared" si="13"/>
        <v>231.3</v>
      </c>
      <c r="U148" s="1148"/>
    </row>
    <row r="149" spans="1:21">
      <c r="A149" s="1157">
        <f t="shared" si="14"/>
        <v>40633</v>
      </c>
      <c r="B149" s="1158">
        <f t="shared" si="12"/>
        <v>2011</v>
      </c>
      <c r="C149" s="1326">
        <v>92.6</v>
      </c>
      <c r="D149" s="1326">
        <v>232.5</v>
      </c>
      <c r="E149" s="1159" t="str">
        <f>IF($A149&lt;DATE(2018,7,1),"-",INDEX('I1 - Universal Data'!$E$16:$V$16, MATCH(YEAR(EOMONTH($A149,6)), 'I1 - Universal Data'!$E$14:$V$14, 0)))</f>
        <v>-</v>
      </c>
      <c r="F149" s="1159" t="str">
        <f>IF($A149&lt;DATE(2018,7,1),"-",INDEX('I1 - Universal Data'!$E$15:$V$15, MATCH(YEAR(EOMONTH($A149,6)), 'I1 - Universal Data'!$E$14:$V$14, 0)))</f>
        <v>-</v>
      </c>
      <c r="G149" s="1160">
        <f t="shared" si="13"/>
        <v>92.6</v>
      </c>
      <c r="H149" s="1160">
        <f t="shared" si="13"/>
        <v>232.5</v>
      </c>
      <c r="U149" s="1148"/>
    </row>
    <row r="150" spans="1:21">
      <c r="A150" s="1157">
        <f t="shared" si="14"/>
        <v>40663</v>
      </c>
      <c r="B150" s="1158">
        <f t="shared" si="12"/>
        <v>2012</v>
      </c>
      <c r="C150" s="1326">
        <v>93.3</v>
      </c>
      <c r="D150" s="1326">
        <v>234.4</v>
      </c>
      <c r="E150" s="1159" t="str">
        <f>IF($A150&lt;DATE(2018,7,1),"-",INDEX('I1 - Universal Data'!$E$16:$V$16, MATCH(YEAR(EOMONTH($A150,6)), 'I1 - Universal Data'!$E$14:$V$14, 0)))</f>
        <v>-</v>
      </c>
      <c r="F150" s="1159" t="str">
        <f>IF($A150&lt;DATE(2018,7,1),"-",INDEX('I1 - Universal Data'!$E$15:$V$15, MATCH(YEAR(EOMONTH($A150,6)), 'I1 - Universal Data'!$E$14:$V$14, 0)))</f>
        <v>-</v>
      </c>
      <c r="G150" s="1160">
        <f t="shared" ref="G150:H165" si="15">IF(ISBLANK(C150),G149*((1+E150)^(1/12)),C150)</f>
        <v>93.3</v>
      </c>
      <c r="H150" s="1160">
        <f t="shared" si="15"/>
        <v>234.4</v>
      </c>
      <c r="U150" s="1148"/>
    </row>
    <row r="151" spans="1:21">
      <c r="A151" s="1157">
        <f t="shared" si="14"/>
        <v>40694</v>
      </c>
      <c r="B151" s="1158">
        <f t="shared" si="12"/>
        <v>2012</v>
      </c>
      <c r="C151" s="1326">
        <v>93.5</v>
      </c>
      <c r="D151" s="1326">
        <v>235.2</v>
      </c>
      <c r="E151" s="1159" t="str">
        <f>IF($A151&lt;DATE(2018,7,1),"-",INDEX('I1 - Universal Data'!$E$16:$V$16, MATCH(YEAR(EOMONTH($A151,6)), 'I1 - Universal Data'!$E$14:$V$14, 0)))</f>
        <v>-</v>
      </c>
      <c r="F151" s="1159" t="str">
        <f>IF($A151&lt;DATE(2018,7,1),"-",INDEX('I1 - Universal Data'!$E$15:$V$15, MATCH(YEAR(EOMONTH($A151,6)), 'I1 - Universal Data'!$E$14:$V$14, 0)))</f>
        <v>-</v>
      </c>
      <c r="G151" s="1160">
        <f t="shared" si="15"/>
        <v>93.5</v>
      </c>
      <c r="H151" s="1160">
        <f t="shared" si="15"/>
        <v>235.2</v>
      </c>
      <c r="U151" s="1148"/>
    </row>
    <row r="152" spans="1:21">
      <c r="A152" s="1157">
        <f t="shared" si="14"/>
        <v>40724</v>
      </c>
      <c r="B152" s="1158">
        <f t="shared" si="12"/>
        <v>2012</v>
      </c>
      <c r="C152" s="1326">
        <v>93.5</v>
      </c>
      <c r="D152" s="1326">
        <v>235.2</v>
      </c>
      <c r="E152" s="1159" t="str">
        <f>IF($A152&lt;DATE(2018,7,1),"-",INDEX('I1 - Universal Data'!$E$16:$V$16, MATCH(YEAR(EOMONTH($A152,6)), 'I1 - Universal Data'!$E$14:$V$14, 0)))</f>
        <v>-</v>
      </c>
      <c r="F152" s="1159" t="str">
        <f>IF($A152&lt;DATE(2018,7,1),"-",INDEX('I1 - Universal Data'!$E$15:$V$15, MATCH(YEAR(EOMONTH($A152,6)), 'I1 - Universal Data'!$E$14:$V$14, 0)))</f>
        <v>-</v>
      </c>
      <c r="G152" s="1160">
        <f t="shared" si="15"/>
        <v>93.5</v>
      </c>
      <c r="H152" s="1160">
        <f t="shared" si="15"/>
        <v>235.2</v>
      </c>
      <c r="U152" s="1148"/>
    </row>
    <row r="153" spans="1:21">
      <c r="A153" s="1157">
        <f t="shared" si="14"/>
        <v>40755</v>
      </c>
      <c r="B153" s="1158">
        <f t="shared" si="12"/>
        <v>2012</v>
      </c>
      <c r="C153" s="1326">
        <v>93.5</v>
      </c>
      <c r="D153" s="1326">
        <v>234.7</v>
      </c>
      <c r="E153" s="1159" t="str">
        <f>IF($A153&lt;DATE(2018,7,1),"-",INDEX('I1 - Universal Data'!$E$16:$V$16, MATCH(YEAR(EOMONTH($A153,6)), 'I1 - Universal Data'!$E$14:$V$14, 0)))</f>
        <v>-</v>
      </c>
      <c r="F153" s="1159" t="str">
        <f>IF($A153&lt;DATE(2018,7,1),"-",INDEX('I1 - Universal Data'!$E$15:$V$15, MATCH(YEAR(EOMONTH($A153,6)), 'I1 - Universal Data'!$E$14:$V$14, 0)))</f>
        <v>-</v>
      </c>
      <c r="G153" s="1160">
        <f t="shared" si="15"/>
        <v>93.5</v>
      </c>
      <c r="H153" s="1160">
        <f t="shared" si="15"/>
        <v>234.7</v>
      </c>
      <c r="U153" s="1148"/>
    </row>
    <row r="154" spans="1:21">
      <c r="A154" s="1157">
        <f t="shared" si="14"/>
        <v>40786</v>
      </c>
      <c r="B154" s="1158">
        <f t="shared" si="12"/>
        <v>2012</v>
      </c>
      <c r="C154" s="1326">
        <v>93.9</v>
      </c>
      <c r="D154" s="1326">
        <v>236.1</v>
      </c>
      <c r="E154" s="1159" t="str">
        <f>IF($A154&lt;DATE(2018,7,1),"-",INDEX('I1 - Universal Data'!$E$16:$V$16, MATCH(YEAR(EOMONTH($A154,6)), 'I1 - Universal Data'!$E$14:$V$14, 0)))</f>
        <v>-</v>
      </c>
      <c r="F154" s="1159" t="str">
        <f>IF($A154&lt;DATE(2018,7,1),"-",INDEX('I1 - Universal Data'!$E$15:$V$15, MATCH(YEAR(EOMONTH($A154,6)), 'I1 - Universal Data'!$E$14:$V$14, 0)))</f>
        <v>-</v>
      </c>
      <c r="G154" s="1160">
        <f t="shared" si="15"/>
        <v>93.9</v>
      </c>
      <c r="H154" s="1160">
        <f t="shared" si="15"/>
        <v>236.1</v>
      </c>
      <c r="U154" s="1148"/>
    </row>
    <row r="155" spans="1:21">
      <c r="A155" s="1157">
        <f t="shared" si="14"/>
        <v>40816</v>
      </c>
      <c r="B155" s="1158">
        <f t="shared" si="12"/>
        <v>2012</v>
      </c>
      <c r="C155" s="1326">
        <v>94.5</v>
      </c>
      <c r="D155" s="1326">
        <v>237.9</v>
      </c>
      <c r="E155" s="1159" t="str">
        <f>IF($A155&lt;DATE(2018,7,1),"-",INDEX('I1 - Universal Data'!$E$16:$V$16, MATCH(YEAR(EOMONTH($A155,6)), 'I1 - Universal Data'!$E$14:$V$14, 0)))</f>
        <v>-</v>
      </c>
      <c r="F155" s="1159" t="str">
        <f>IF($A155&lt;DATE(2018,7,1),"-",INDEX('I1 - Universal Data'!$E$15:$V$15, MATCH(YEAR(EOMONTH($A155,6)), 'I1 - Universal Data'!$E$14:$V$14, 0)))</f>
        <v>-</v>
      </c>
      <c r="G155" s="1160">
        <f t="shared" si="15"/>
        <v>94.5</v>
      </c>
      <c r="H155" s="1160">
        <f t="shared" si="15"/>
        <v>237.9</v>
      </c>
      <c r="U155" s="1148"/>
    </row>
    <row r="156" spans="1:21">
      <c r="A156" s="1157">
        <f t="shared" si="14"/>
        <v>40847</v>
      </c>
      <c r="B156" s="1158">
        <f t="shared" si="12"/>
        <v>2012</v>
      </c>
      <c r="C156" s="1326">
        <v>94.5</v>
      </c>
      <c r="D156" s="1326">
        <v>238</v>
      </c>
      <c r="E156" s="1159" t="str">
        <f>IF($A156&lt;DATE(2018,7,1),"-",INDEX('I1 - Universal Data'!$E$16:$V$16, MATCH(YEAR(EOMONTH($A156,6)), 'I1 - Universal Data'!$E$14:$V$14, 0)))</f>
        <v>-</v>
      </c>
      <c r="F156" s="1159" t="str">
        <f>IF($A156&lt;DATE(2018,7,1),"-",INDEX('I1 - Universal Data'!$E$15:$V$15, MATCH(YEAR(EOMONTH($A156,6)), 'I1 - Universal Data'!$E$14:$V$14, 0)))</f>
        <v>-</v>
      </c>
      <c r="G156" s="1160">
        <f t="shared" si="15"/>
        <v>94.5</v>
      </c>
      <c r="H156" s="1160">
        <f t="shared" si="15"/>
        <v>238</v>
      </c>
      <c r="U156" s="1148"/>
    </row>
    <row r="157" spans="1:21">
      <c r="A157" s="1157">
        <f t="shared" si="14"/>
        <v>40877</v>
      </c>
      <c r="B157" s="1158">
        <f t="shared" si="12"/>
        <v>2012</v>
      </c>
      <c r="C157" s="1326">
        <v>94.7</v>
      </c>
      <c r="D157" s="1326">
        <v>238.5</v>
      </c>
      <c r="E157" s="1159" t="str">
        <f>IF($A157&lt;DATE(2018,7,1),"-",INDEX('I1 - Universal Data'!$E$16:$V$16, MATCH(YEAR(EOMONTH($A157,6)), 'I1 - Universal Data'!$E$14:$V$14, 0)))</f>
        <v>-</v>
      </c>
      <c r="F157" s="1159" t="str">
        <f>IF($A157&lt;DATE(2018,7,1),"-",INDEX('I1 - Universal Data'!$E$15:$V$15, MATCH(YEAR(EOMONTH($A157,6)), 'I1 - Universal Data'!$E$14:$V$14, 0)))</f>
        <v>-</v>
      </c>
      <c r="G157" s="1160">
        <f t="shared" si="15"/>
        <v>94.7</v>
      </c>
      <c r="H157" s="1160">
        <f t="shared" si="15"/>
        <v>238.5</v>
      </c>
      <c r="U157" s="1148"/>
    </row>
    <row r="158" spans="1:21">
      <c r="A158" s="1157">
        <f t="shared" si="14"/>
        <v>40908</v>
      </c>
      <c r="B158" s="1158">
        <f t="shared" si="12"/>
        <v>2012</v>
      </c>
      <c r="C158" s="1326">
        <v>95</v>
      </c>
      <c r="D158" s="1326">
        <v>239.4</v>
      </c>
      <c r="E158" s="1159" t="str">
        <f>IF($A158&lt;DATE(2018,7,1),"-",INDEX('I1 - Universal Data'!$E$16:$V$16, MATCH(YEAR(EOMONTH($A158,6)), 'I1 - Universal Data'!$E$14:$V$14, 0)))</f>
        <v>-</v>
      </c>
      <c r="F158" s="1159" t="str">
        <f>IF($A158&lt;DATE(2018,7,1),"-",INDEX('I1 - Universal Data'!$E$15:$V$15, MATCH(YEAR(EOMONTH($A158,6)), 'I1 - Universal Data'!$E$14:$V$14, 0)))</f>
        <v>-</v>
      </c>
      <c r="G158" s="1160">
        <f t="shared" si="15"/>
        <v>95</v>
      </c>
      <c r="H158" s="1160">
        <f t="shared" si="15"/>
        <v>239.4</v>
      </c>
      <c r="U158" s="1148"/>
    </row>
    <row r="159" spans="1:21">
      <c r="A159" s="1157">
        <f t="shared" si="14"/>
        <v>40939</v>
      </c>
      <c r="B159" s="1158">
        <f t="shared" si="12"/>
        <v>2012</v>
      </c>
      <c r="C159" s="1326">
        <v>94.7</v>
      </c>
      <c r="D159" s="1326">
        <v>238</v>
      </c>
      <c r="E159" s="1159" t="str">
        <f>IF($A159&lt;DATE(2018,7,1),"-",INDEX('I1 - Universal Data'!$E$16:$V$16, MATCH(YEAR(EOMONTH($A159,6)), 'I1 - Universal Data'!$E$14:$V$14, 0)))</f>
        <v>-</v>
      </c>
      <c r="F159" s="1159" t="str">
        <f>IF($A159&lt;DATE(2018,7,1),"-",INDEX('I1 - Universal Data'!$E$15:$V$15, MATCH(YEAR(EOMONTH($A159,6)), 'I1 - Universal Data'!$E$14:$V$14, 0)))</f>
        <v>-</v>
      </c>
      <c r="G159" s="1160">
        <f t="shared" si="15"/>
        <v>94.7</v>
      </c>
      <c r="H159" s="1160">
        <f t="shared" si="15"/>
        <v>238</v>
      </c>
      <c r="U159" s="1148"/>
    </row>
    <row r="160" spans="1:21">
      <c r="A160" s="1157">
        <f t="shared" si="14"/>
        <v>40968</v>
      </c>
      <c r="B160" s="1158">
        <f t="shared" si="12"/>
        <v>2012</v>
      </c>
      <c r="C160" s="1326">
        <v>95.2</v>
      </c>
      <c r="D160" s="1326">
        <v>239.9</v>
      </c>
      <c r="E160" s="1159" t="str">
        <f>IF($A160&lt;DATE(2018,7,1),"-",INDEX('I1 - Universal Data'!$E$16:$V$16, MATCH(YEAR(EOMONTH($A160,6)), 'I1 - Universal Data'!$E$14:$V$14, 0)))</f>
        <v>-</v>
      </c>
      <c r="F160" s="1159" t="str">
        <f>IF($A160&lt;DATE(2018,7,1),"-",INDEX('I1 - Universal Data'!$E$15:$V$15, MATCH(YEAR(EOMONTH($A160,6)), 'I1 - Universal Data'!$E$14:$V$14, 0)))</f>
        <v>-</v>
      </c>
      <c r="G160" s="1160">
        <f t="shared" si="15"/>
        <v>95.2</v>
      </c>
      <c r="H160" s="1160">
        <f t="shared" si="15"/>
        <v>239.9</v>
      </c>
      <c r="U160" s="1148"/>
    </row>
    <row r="161" spans="1:21">
      <c r="A161" s="1157">
        <f t="shared" si="14"/>
        <v>40999</v>
      </c>
      <c r="B161" s="1158">
        <f t="shared" si="12"/>
        <v>2012</v>
      </c>
      <c r="C161" s="1326">
        <v>95.4</v>
      </c>
      <c r="D161" s="1326">
        <v>240.8</v>
      </c>
      <c r="E161" s="1159" t="str">
        <f>IF($A161&lt;DATE(2018,7,1),"-",INDEX('I1 - Universal Data'!$E$16:$V$16, MATCH(YEAR(EOMONTH($A161,6)), 'I1 - Universal Data'!$E$14:$V$14, 0)))</f>
        <v>-</v>
      </c>
      <c r="F161" s="1159" t="str">
        <f>IF($A161&lt;DATE(2018,7,1),"-",INDEX('I1 - Universal Data'!$E$15:$V$15, MATCH(YEAR(EOMONTH($A161,6)), 'I1 - Universal Data'!$E$14:$V$14, 0)))</f>
        <v>-</v>
      </c>
      <c r="G161" s="1160">
        <f t="shared" si="15"/>
        <v>95.4</v>
      </c>
      <c r="H161" s="1160">
        <f t="shared" si="15"/>
        <v>240.8</v>
      </c>
      <c r="U161" s="1148"/>
    </row>
    <row r="162" spans="1:21">
      <c r="A162" s="1157">
        <f t="shared" si="14"/>
        <v>41029</v>
      </c>
      <c r="B162" s="1158">
        <f t="shared" si="12"/>
        <v>2013</v>
      </c>
      <c r="C162" s="1326">
        <v>95.9</v>
      </c>
      <c r="D162" s="1326">
        <v>242.5</v>
      </c>
      <c r="E162" s="1159" t="str">
        <f>IF($A162&lt;DATE(2018,7,1),"-",INDEX('I1 - Universal Data'!$E$16:$V$16, MATCH(YEAR(EOMONTH($A162,6)), 'I1 - Universal Data'!$E$14:$V$14, 0)))</f>
        <v>-</v>
      </c>
      <c r="F162" s="1159" t="str">
        <f>IF($A162&lt;DATE(2018,7,1),"-",INDEX('I1 - Universal Data'!$E$15:$V$15, MATCH(YEAR(EOMONTH($A162,6)), 'I1 - Universal Data'!$E$14:$V$14, 0)))</f>
        <v>-</v>
      </c>
      <c r="G162" s="1160">
        <f t="shared" si="15"/>
        <v>95.9</v>
      </c>
      <c r="H162" s="1160">
        <f t="shared" si="15"/>
        <v>242.5</v>
      </c>
      <c r="U162" s="1148"/>
    </row>
    <row r="163" spans="1:21">
      <c r="A163" s="1157">
        <f t="shared" si="14"/>
        <v>41060</v>
      </c>
      <c r="B163" s="1158">
        <f t="shared" si="12"/>
        <v>2013</v>
      </c>
      <c r="C163" s="1326">
        <v>95.9</v>
      </c>
      <c r="D163" s="1326">
        <v>242.4</v>
      </c>
      <c r="E163" s="1159" t="str">
        <f>IF($A163&lt;DATE(2018,7,1),"-",INDEX('I1 - Universal Data'!$E$16:$V$16, MATCH(YEAR(EOMONTH($A163,6)), 'I1 - Universal Data'!$E$14:$V$14, 0)))</f>
        <v>-</v>
      </c>
      <c r="F163" s="1159" t="str">
        <f>IF($A163&lt;DATE(2018,7,1),"-",INDEX('I1 - Universal Data'!$E$15:$V$15, MATCH(YEAR(EOMONTH($A163,6)), 'I1 - Universal Data'!$E$14:$V$14, 0)))</f>
        <v>-</v>
      </c>
      <c r="G163" s="1160">
        <f t="shared" si="15"/>
        <v>95.9</v>
      </c>
      <c r="H163" s="1160">
        <f t="shared" si="15"/>
        <v>242.4</v>
      </c>
      <c r="U163" s="1148"/>
    </row>
    <row r="164" spans="1:21">
      <c r="A164" s="1157">
        <f t="shared" si="14"/>
        <v>41090</v>
      </c>
      <c r="B164" s="1158">
        <f t="shared" si="12"/>
        <v>2013</v>
      </c>
      <c r="C164" s="1326">
        <v>95.6</v>
      </c>
      <c r="D164" s="1326">
        <v>241.8</v>
      </c>
      <c r="E164" s="1159" t="str">
        <f>IF($A164&lt;DATE(2018,7,1),"-",INDEX('I1 - Universal Data'!$E$16:$V$16, MATCH(YEAR(EOMONTH($A164,6)), 'I1 - Universal Data'!$E$14:$V$14, 0)))</f>
        <v>-</v>
      </c>
      <c r="F164" s="1159" t="str">
        <f>IF($A164&lt;DATE(2018,7,1),"-",INDEX('I1 - Universal Data'!$E$15:$V$15, MATCH(YEAR(EOMONTH($A164,6)), 'I1 - Universal Data'!$E$14:$V$14, 0)))</f>
        <v>-</v>
      </c>
      <c r="G164" s="1160">
        <f t="shared" si="15"/>
        <v>95.6</v>
      </c>
      <c r="H164" s="1160">
        <f t="shared" si="15"/>
        <v>241.8</v>
      </c>
      <c r="U164" s="1148"/>
    </row>
    <row r="165" spans="1:21">
      <c r="A165" s="1157">
        <f t="shared" si="14"/>
        <v>41121</v>
      </c>
      <c r="B165" s="1158">
        <f t="shared" si="12"/>
        <v>2013</v>
      </c>
      <c r="C165" s="1326">
        <v>95.7</v>
      </c>
      <c r="D165" s="1326">
        <v>242.1</v>
      </c>
      <c r="E165" s="1159" t="str">
        <f>IF($A165&lt;DATE(2018,7,1),"-",INDEX('I1 - Universal Data'!$E$16:$V$16, MATCH(YEAR(EOMONTH($A165,6)), 'I1 - Universal Data'!$E$14:$V$14, 0)))</f>
        <v>-</v>
      </c>
      <c r="F165" s="1159" t="str">
        <f>IF($A165&lt;DATE(2018,7,1),"-",INDEX('I1 - Universal Data'!$E$15:$V$15, MATCH(YEAR(EOMONTH($A165,6)), 'I1 - Universal Data'!$E$14:$V$14, 0)))</f>
        <v>-</v>
      </c>
      <c r="G165" s="1160">
        <f t="shared" si="15"/>
        <v>95.7</v>
      </c>
      <c r="H165" s="1160">
        <f t="shared" si="15"/>
        <v>242.1</v>
      </c>
      <c r="U165" s="1148"/>
    </row>
    <row r="166" spans="1:21">
      <c r="A166" s="1157">
        <f t="shared" si="14"/>
        <v>41152</v>
      </c>
      <c r="B166" s="1158">
        <f t="shared" si="12"/>
        <v>2013</v>
      </c>
      <c r="C166" s="1326">
        <v>96.1</v>
      </c>
      <c r="D166" s="1326">
        <v>243</v>
      </c>
      <c r="E166" s="1159" t="str">
        <f>IF($A166&lt;DATE(2018,7,1),"-",INDEX('I1 - Universal Data'!$E$16:$V$16, MATCH(YEAR(EOMONTH($A166,6)), 'I1 - Universal Data'!$E$14:$V$14, 0)))</f>
        <v>-</v>
      </c>
      <c r="F166" s="1159" t="str">
        <f>IF($A166&lt;DATE(2018,7,1),"-",INDEX('I1 - Universal Data'!$E$15:$V$15, MATCH(YEAR(EOMONTH($A166,6)), 'I1 - Universal Data'!$E$14:$V$14, 0)))</f>
        <v>-</v>
      </c>
      <c r="G166" s="1160">
        <f t="shared" ref="G166:H181" si="16">IF(ISBLANK(C166),G165*((1+E166)^(1/12)),C166)</f>
        <v>96.1</v>
      </c>
      <c r="H166" s="1160">
        <f t="shared" si="16"/>
        <v>243</v>
      </c>
      <c r="U166" s="1148"/>
    </row>
    <row r="167" spans="1:21">
      <c r="A167" s="1157">
        <f t="shared" si="14"/>
        <v>41182</v>
      </c>
      <c r="B167" s="1158">
        <f t="shared" si="12"/>
        <v>2013</v>
      </c>
      <c r="C167" s="1326">
        <v>96.4</v>
      </c>
      <c r="D167" s="1326">
        <v>244.2</v>
      </c>
      <c r="E167" s="1159" t="str">
        <f>IF($A167&lt;DATE(2018,7,1),"-",INDEX('I1 - Universal Data'!$E$16:$V$16, MATCH(YEAR(EOMONTH($A167,6)), 'I1 - Universal Data'!$E$14:$V$14, 0)))</f>
        <v>-</v>
      </c>
      <c r="F167" s="1159" t="str">
        <f>IF($A167&lt;DATE(2018,7,1),"-",INDEX('I1 - Universal Data'!$E$15:$V$15, MATCH(YEAR(EOMONTH($A167,6)), 'I1 - Universal Data'!$E$14:$V$14, 0)))</f>
        <v>-</v>
      </c>
      <c r="G167" s="1160">
        <f t="shared" si="16"/>
        <v>96.4</v>
      </c>
      <c r="H167" s="1160">
        <f t="shared" si="16"/>
        <v>244.2</v>
      </c>
      <c r="U167" s="1148"/>
    </row>
    <row r="168" spans="1:21">
      <c r="A168" s="1157">
        <f t="shared" si="14"/>
        <v>41213</v>
      </c>
      <c r="B168" s="1158">
        <f t="shared" si="12"/>
        <v>2013</v>
      </c>
      <c r="C168" s="1326">
        <v>96.8</v>
      </c>
      <c r="D168" s="1326">
        <v>245.6</v>
      </c>
      <c r="E168" s="1159" t="str">
        <f>IF($A168&lt;DATE(2018,7,1),"-",INDEX('I1 - Universal Data'!$E$16:$V$16, MATCH(YEAR(EOMONTH($A168,6)), 'I1 - Universal Data'!$E$14:$V$14, 0)))</f>
        <v>-</v>
      </c>
      <c r="F168" s="1159" t="str">
        <f>IF($A168&lt;DATE(2018,7,1),"-",INDEX('I1 - Universal Data'!$E$15:$V$15, MATCH(YEAR(EOMONTH($A168,6)), 'I1 - Universal Data'!$E$14:$V$14, 0)))</f>
        <v>-</v>
      </c>
      <c r="G168" s="1160">
        <f t="shared" si="16"/>
        <v>96.8</v>
      </c>
      <c r="H168" s="1160">
        <f t="shared" si="16"/>
        <v>245.6</v>
      </c>
      <c r="U168" s="1148"/>
    </row>
    <row r="169" spans="1:21">
      <c r="A169" s="1157">
        <f t="shared" si="14"/>
        <v>41243</v>
      </c>
      <c r="B169" s="1158">
        <f t="shared" si="12"/>
        <v>2013</v>
      </c>
      <c r="C169" s="1326">
        <v>97</v>
      </c>
      <c r="D169" s="1326">
        <v>245.6</v>
      </c>
      <c r="E169" s="1159" t="str">
        <f>IF($A169&lt;DATE(2018,7,1),"-",INDEX('I1 - Universal Data'!$E$16:$V$16, MATCH(YEAR(EOMONTH($A169,6)), 'I1 - Universal Data'!$E$14:$V$14, 0)))</f>
        <v>-</v>
      </c>
      <c r="F169" s="1159" t="str">
        <f>IF($A169&lt;DATE(2018,7,1),"-",INDEX('I1 - Universal Data'!$E$15:$V$15, MATCH(YEAR(EOMONTH($A169,6)), 'I1 - Universal Data'!$E$14:$V$14, 0)))</f>
        <v>-</v>
      </c>
      <c r="G169" s="1160">
        <f t="shared" si="16"/>
        <v>97</v>
      </c>
      <c r="H169" s="1160">
        <f t="shared" si="16"/>
        <v>245.6</v>
      </c>
      <c r="U169" s="1148"/>
    </row>
    <row r="170" spans="1:21">
      <c r="A170" s="1157">
        <f t="shared" si="14"/>
        <v>41274</v>
      </c>
      <c r="B170" s="1158">
        <f t="shared" si="12"/>
        <v>2013</v>
      </c>
      <c r="C170" s="1326">
        <v>97.3</v>
      </c>
      <c r="D170" s="1326">
        <v>246.8</v>
      </c>
      <c r="E170" s="1159" t="str">
        <f>IF($A170&lt;DATE(2018,7,1),"-",INDEX('I1 - Universal Data'!$E$16:$V$16, MATCH(YEAR(EOMONTH($A170,6)), 'I1 - Universal Data'!$E$14:$V$14, 0)))</f>
        <v>-</v>
      </c>
      <c r="F170" s="1159" t="str">
        <f>IF($A170&lt;DATE(2018,7,1),"-",INDEX('I1 - Universal Data'!$E$15:$V$15, MATCH(YEAR(EOMONTH($A170,6)), 'I1 - Universal Data'!$E$14:$V$14, 0)))</f>
        <v>-</v>
      </c>
      <c r="G170" s="1160">
        <f t="shared" si="16"/>
        <v>97.3</v>
      </c>
      <c r="H170" s="1160">
        <f t="shared" si="16"/>
        <v>246.8</v>
      </c>
      <c r="U170" s="1148"/>
    </row>
    <row r="171" spans="1:21">
      <c r="A171" s="1157">
        <f t="shared" si="14"/>
        <v>41305</v>
      </c>
      <c r="B171" s="1158">
        <f t="shared" si="12"/>
        <v>2013</v>
      </c>
      <c r="C171" s="1326">
        <v>97</v>
      </c>
      <c r="D171" s="1326">
        <v>245.8</v>
      </c>
      <c r="E171" s="1159" t="str">
        <f>IF($A171&lt;DATE(2018,7,1),"-",INDEX('I1 - Universal Data'!$E$16:$V$16, MATCH(YEAR(EOMONTH($A171,6)), 'I1 - Universal Data'!$E$14:$V$14, 0)))</f>
        <v>-</v>
      </c>
      <c r="F171" s="1159" t="str">
        <f>IF($A171&lt;DATE(2018,7,1),"-",INDEX('I1 - Universal Data'!$E$15:$V$15, MATCH(YEAR(EOMONTH($A171,6)), 'I1 - Universal Data'!$E$14:$V$14, 0)))</f>
        <v>-</v>
      </c>
      <c r="G171" s="1160">
        <f t="shared" si="16"/>
        <v>97</v>
      </c>
      <c r="H171" s="1160">
        <f t="shared" si="16"/>
        <v>245.8</v>
      </c>
      <c r="U171" s="1148"/>
    </row>
    <row r="172" spans="1:21">
      <c r="A172" s="1157">
        <f t="shared" si="14"/>
        <v>41333</v>
      </c>
      <c r="B172" s="1158">
        <f t="shared" si="12"/>
        <v>2013</v>
      </c>
      <c r="C172" s="1326">
        <v>97.5</v>
      </c>
      <c r="D172" s="1326">
        <v>247.6</v>
      </c>
      <c r="E172" s="1159" t="str">
        <f>IF($A172&lt;DATE(2018,7,1),"-",INDEX('I1 - Universal Data'!$E$16:$V$16, MATCH(YEAR(EOMONTH($A172,6)), 'I1 - Universal Data'!$E$14:$V$14, 0)))</f>
        <v>-</v>
      </c>
      <c r="F172" s="1159" t="str">
        <f>IF($A172&lt;DATE(2018,7,1),"-",INDEX('I1 - Universal Data'!$E$15:$V$15, MATCH(YEAR(EOMONTH($A172,6)), 'I1 - Universal Data'!$E$14:$V$14, 0)))</f>
        <v>-</v>
      </c>
      <c r="G172" s="1160">
        <f t="shared" si="16"/>
        <v>97.5</v>
      </c>
      <c r="H172" s="1160">
        <f t="shared" si="16"/>
        <v>247.6</v>
      </c>
      <c r="U172" s="1148"/>
    </row>
    <row r="173" spans="1:21">
      <c r="A173" s="1157">
        <f t="shared" si="14"/>
        <v>41364</v>
      </c>
      <c r="B173" s="1158">
        <f t="shared" si="12"/>
        <v>2013</v>
      </c>
      <c r="C173" s="1326">
        <v>97.8</v>
      </c>
      <c r="D173" s="1326">
        <v>248.7</v>
      </c>
      <c r="E173" s="1159" t="str">
        <f>IF($A173&lt;DATE(2018,7,1),"-",INDEX('I1 - Universal Data'!$E$16:$V$16, MATCH(YEAR(EOMONTH($A173,6)), 'I1 - Universal Data'!$E$14:$V$14, 0)))</f>
        <v>-</v>
      </c>
      <c r="F173" s="1159" t="str">
        <f>IF($A173&lt;DATE(2018,7,1),"-",INDEX('I1 - Universal Data'!$E$15:$V$15, MATCH(YEAR(EOMONTH($A173,6)), 'I1 - Universal Data'!$E$14:$V$14, 0)))</f>
        <v>-</v>
      </c>
      <c r="G173" s="1160">
        <f t="shared" si="16"/>
        <v>97.8</v>
      </c>
      <c r="H173" s="1160">
        <f t="shared" si="16"/>
        <v>248.7</v>
      </c>
      <c r="U173" s="1148"/>
    </row>
    <row r="174" spans="1:21">
      <c r="A174" s="1157">
        <f t="shared" si="14"/>
        <v>41394</v>
      </c>
      <c r="B174" s="1158">
        <f t="shared" si="12"/>
        <v>2014</v>
      </c>
      <c r="C174" s="1326">
        <v>98</v>
      </c>
      <c r="D174" s="1326">
        <v>249.5</v>
      </c>
      <c r="E174" s="1159" t="str">
        <f>IF($A174&lt;DATE(2018,7,1),"-",INDEX('I1 - Universal Data'!$E$16:$V$16, MATCH(YEAR(EOMONTH($A174,6)), 'I1 - Universal Data'!$E$14:$V$14, 0)))</f>
        <v>-</v>
      </c>
      <c r="F174" s="1159" t="str">
        <f>IF($A174&lt;DATE(2018,7,1),"-",INDEX('I1 - Universal Data'!$E$15:$V$15, MATCH(YEAR(EOMONTH($A174,6)), 'I1 - Universal Data'!$E$14:$V$14, 0)))</f>
        <v>-</v>
      </c>
      <c r="G174" s="1160">
        <f t="shared" si="16"/>
        <v>98</v>
      </c>
      <c r="H174" s="1160">
        <f t="shared" si="16"/>
        <v>249.5</v>
      </c>
      <c r="U174" s="1148"/>
    </row>
    <row r="175" spans="1:21">
      <c r="A175" s="1157">
        <f t="shared" si="14"/>
        <v>41425</v>
      </c>
      <c r="B175" s="1158">
        <f t="shared" si="12"/>
        <v>2014</v>
      </c>
      <c r="C175" s="1326">
        <v>98.2</v>
      </c>
      <c r="D175" s="1326">
        <v>250</v>
      </c>
      <c r="E175" s="1159" t="str">
        <f>IF($A175&lt;DATE(2018,7,1),"-",INDEX('I1 - Universal Data'!$E$16:$V$16, MATCH(YEAR(EOMONTH($A175,6)), 'I1 - Universal Data'!$E$14:$V$14, 0)))</f>
        <v>-</v>
      </c>
      <c r="F175" s="1159" t="str">
        <f>IF($A175&lt;DATE(2018,7,1),"-",INDEX('I1 - Universal Data'!$E$15:$V$15, MATCH(YEAR(EOMONTH($A175,6)), 'I1 - Universal Data'!$E$14:$V$14, 0)))</f>
        <v>-</v>
      </c>
      <c r="G175" s="1160">
        <f t="shared" si="16"/>
        <v>98.2</v>
      </c>
      <c r="H175" s="1160">
        <f t="shared" si="16"/>
        <v>250</v>
      </c>
      <c r="U175" s="1148"/>
    </row>
    <row r="176" spans="1:21">
      <c r="A176" s="1157">
        <f t="shared" si="14"/>
        <v>41455</v>
      </c>
      <c r="B176" s="1158">
        <f t="shared" si="12"/>
        <v>2014</v>
      </c>
      <c r="C176" s="1326">
        <v>98</v>
      </c>
      <c r="D176" s="1326">
        <v>249.7</v>
      </c>
      <c r="E176" s="1159" t="str">
        <f>IF($A176&lt;DATE(2018,7,1),"-",INDEX('I1 - Universal Data'!$E$16:$V$16, MATCH(YEAR(EOMONTH($A176,6)), 'I1 - Universal Data'!$E$14:$V$14, 0)))</f>
        <v>-</v>
      </c>
      <c r="F176" s="1159" t="str">
        <f>IF($A176&lt;DATE(2018,7,1),"-",INDEX('I1 - Universal Data'!$E$15:$V$15, MATCH(YEAR(EOMONTH($A176,6)), 'I1 - Universal Data'!$E$14:$V$14, 0)))</f>
        <v>-</v>
      </c>
      <c r="G176" s="1160">
        <f t="shared" si="16"/>
        <v>98</v>
      </c>
      <c r="H176" s="1160">
        <f t="shared" si="16"/>
        <v>249.7</v>
      </c>
      <c r="U176" s="1148"/>
    </row>
    <row r="177" spans="1:21">
      <c r="A177" s="1157">
        <f t="shared" si="14"/>
        <v>41486</v>
      </c>
      <c r="B177" s="1158">
        <f t="shared" si="12"/>
        <v>2014</v>
      </c>
      <c r="C177" s="1326">
        <v>98</v>
      </c>
      <c r="D177" s="1326">
        <v>249.7</v>
      </c>
      <c r="E177" s="1159" t="str">
        <f>IF($A177&lt;DATE(2018,7,1),"-",INDEX('I1 - Universal Data'!$E$16:$V$16, MATCH(YEAR(EOMONTH($A177,6)), 'I1 - Universal Data'!$E$14:$V$14, 0)))</f>
        <v>-</v>
      </c>
      <c r="F177" s="1159" t="str">
        <f>IF($A177&lt;DATE(2018,7,1),"-",INDEX('I1 - Universal Data'!$E$15:$V$15, MATCH(YEAR(EOMONTH($A177,6)), 'I1 - Universal Data'!$E$14:$V$14, 0)))</f>
        <v>-</v>
      </c>
      <c r="G177" s="1160">
        <f t="shared" si="16"/>
        <v>98</v>
      </c>
      <c r="H177" s="1160">
        <f t="shared" si="16"/>
        <v>249.7</v>
      </c>
      <c r="U177" s="1148"/>
    </row>
    <row r="178" spans="1:21">
      <c r="A178" s="1157">
        <f t="shared" si="14"/>
        <v>41517</v>
      </c>
      <c r="B178" s="1158">
        <f t="shared" si="12"/>
        <v>2014</v>
      </c>
      <c r="C178" s="1326">
        <v>98.4</v>
      </c>
      <c r="D178" s="1326">
        <v>251</v>
      </c>
      <c r="E178" s="1159" t="str">
        <f>IF($A178&lt;DATE(2018,7,1),"-",INDEX('I1 - Universal Data'!$E$16:$V$16, MATCH(YEAR(EOMONTH($A178,6)), 'I1 - Universal Data'!$E$14:$V$14, 0)))</f>
        <v>-</v>
      </c>
      <c r="F178" s="1159" t="str">
        <f>IF($A178&lt;DATE(2018,7,1),"-",INDEX('I1 - Universal Data'!$E$15:$V$15, MATCH(YEAR(EOMONTH($A178,6)), 'I1 - Universal Data'!$E$14:$V$14, 0)))</f>
        <v>-</v>
      </c>
      <c r="G178" s="1160">
        <f t="shared" si="16"/>
        <v>98.4</v>
      </c>
      <c r="H178" s="1160">
        <f t="shared" si="16"/>
        <v>251</v>
      </c>
      <c r="U178" s="1148"/>
    </row>
    <row r="179" spans="1:21">
      <c r="A179" s="1157">
        <f t="shared" si="14"/>
        <v>41547</v>
      </c>
      <c r="B179" s="1158">
        <f t="shared" si="12"/>
        <v>2014</v>
      </c>
      <c r="C179" s="1326">
        <v>98.7</v>
      </c>
      <c r="D179" s="1326">
        <v>251.9</v>
      </c>
      <c r="E179" s="1159" t="str">
        <f>IF($A179&lt;DATE(2018,7,1),"-",INDEX('I1 - Universal Data'!$E$16:$V$16, MATCH(YEAR(EOMONTH($A179,6)), 'I1 - Universal Data'!$E$14:$V$14, 0)))</f>
        <v>-</v>
      </c>
      <c r="F179" s="1159" t="str">
        <f>IF($A179&lt;DATE(2018,7,1),"-",INDEX('I1 - Universal Data'!$E$15:$V$15, MATCH(YEAR(EOMONTH($A179,6)), 'I1 - Universal Data'!$E$14:$V$14, 0)))</f>
        <v>-</v>
      </c>
      <c r="G179" s="1160">
        <f t="shared" si="16"/>
        <v>98.7</v>
      </c>
      <c r="H179" s="1160">
        <f t="shared" si="16"/>
        <v>251.9</v>
      </c>
      <c r="U179" s="1148"/>
    </row>
    <row r="180" spans="1:21">
      <c r="A180" s="1157">
        <f t="shared" si="14"/>
        <v>41578</v>
      </c>
      <c r="B180" s="1158">
        <f t="shared" si="12"/>
        <v>2014</v>
      </c>
      <c r="C180" s="1326">
        <v>98.8</v>
      </c>
      <c r="D180" s="1326">
        <v>251.9</v>
      </c>
      <c r="E180" s="1159" t="str">
        <f>IF($A180&lt;DATE(2018,7,1),"-",INDEX('I1 - Universal Data'!$E$16:$V$16, MATCH(YEAR(EOMONTH($A180,6)), 'I1 - Universal Data'!$E$14:$V$14, 0)))</f>
        <v>-</v>
      </c>
      <c r="F180" s="1159" t="str">
        <f>IF($A180&lt;DATE(2018,7,1),"-",INDEX('I1 - Universal Data'!$E$15:$V$15, MATCH(YEAR(EOMONTH($A180,6)), 'I1 - Universal Data'!$E$14:$V$14, 0)))</f>
        <v>-</v>
      </c>
      <c r="G180" s="1160">
        <f t="shared" si="16"/>
        <v>98.8</v>
      </c>
      <c r="H180" s="1160">
        <f t="shared" si="16"/>
        <v>251.9</v>
      </c>
      <c r="U180" s="1148"/>
    </row>
    <row r="181" spans="1:21">
      <c r="A181" s="1157">
        <f t="shared" si="14"/>
        <v>41608</v>
      </c>
      <c r="B181" s="1158">
        <f t="shared" si="12"/>
        <v>2014</v>
      </c>
      <c r="C181" s="1326">
        <v>98.8</v>
      </c>
      <c r="D181" s="1326">
        <v>252.1</v>
      </c>
      <c r="E181" s="1159" t="str">
        <f>IF($A181&lt;DATE(2018,7,1),"-",INDEX('I1 - Universal Data'!$E$16:$V$16, MATCH(YEAR(EOMONTH($A181,6)), 'I1 - Universal Data'!$E$14:$V$14, 0)))</f>
        <v>-</v>
      </c>
      <c r="F181" s="1159" t="str">
        <f>IF($A181&lt;DATE(2018,7,1),"-",INDEX('I1 - Universal Data'!$E$15:$V$15, MATCH(YEAR(EOMONTH($A181,6)), 'I1 - Universal Data'!$E$14:$V$14, 0)))</f>
        <v>-</v>
      </c>
      <c r="G181" s="1160">
        <f t="shared" si="16"/>
        <v>98.8</v>
      </c>
      <c r="H181" s="1160">
        <f t="shared" si="16"/>
        <v>252.1</v>
      </c>
      <c r="U181" s="1148"/>
    </row>
    <row r="182" spans="1:21">
      <c r="A182" s="1157">
        <f t="shared" si="14"/>
        <v>41639</v>
      </c>
      <c r="B182" s="1158">
        <f t="shared" si="12"/>
        <v>2014</v>
      </c>
      <c r="C182" s="1326">
        <v>99.2</v>
      </c>
      <c r="D182" s="1326">
        <v>253.4</v>
      </c>
      <c r="E182" s="1159" t="str">
        <f>IF($A182&lt;DATE(2018,7,1),"-",INDEX('I1 - Universal Data'!$E$16:$V$16, MATCH(YEAR(EOMONTH($A182,6)), 'I1 - Universal Data'!$E$14:$V$14, 0)))</f>
        <v>-</v>
      </c>
      <c r="F182" s="1159" t="str">
        <f>IF($A182&lt;DATE(2018,7,1),"-",INDEX('I1 - Universal Data'!$E$15:$V$15, MATCH(YEAR(EOMONTH($A182,6)), 'I1 - Universal Data'!$E$14:$V$14, 0)))</f>
        <v>-</v>
      </c>
      <c r="G182" s="1160">
        <f t="shared" ref="G182:H197" si="17">IF(ISBLANK(C182),G181*((1+E182)^(1/12)),C182)</f>
        <v>99.2</v>
      </c>
      <c r="H182" s="1160">
        <f t="shared" si="17"/>
        <v>253.4</v>
      </c>
      <c r="U182" s="1148"/>
    </row>
    <row r="183" spans="1:21">
      <c r="A183" s="1157">
        <f t="shared" si="14"/>
        <v>41670</v>
      </c>
      <c r="B183" s="1158">
        <f t="shared" si="12"/>
        <v>2014</v>
      </c>
      <c r="C183" s="1326">
        <v>98.7</v>
      </c>
      <c r="D183" s="1326">
        <v>252.6</v>
      </c>
      <c r="E183" s="1159" t="str">
        <f>IF($A183&lt;DATE(2018,7,1),"-",INDEX('I1 - Universal Data'!$E$16:$V$16, MATCH(YEAR(EOMONTH($A183,6)), 'I1 - Universal Data'!$E$14:$V$14, 0)))</f>
        <v>-</v>
      </c>
      <c r="F183" s="1159" t="str">
        <f>IF($A183&lt;DATE(2018,7,1),"-",INDEX('I1 - Universal Data'!$E$15:$V$15, MATCH(YEAR(EOMONTH($A183,6)), 'I1 - Universal Data'!$E$14:$V$14, 0)))</f>
        <v>-</v>
      </c>
      <c r="G183" s="1160">
        <f t="shared" si="17"/>
        <v>98.7</v>
      </c>
      <c r="H183" s="1160">
        <f t="shared" si="17"/>
        <v>252.6</v>
      </c>
      <c r="U183" s="1148"/>
    </row>
    <row r="184" spans="1:21">
      <c r="A184" s="1157">
        <f t="shared" si="14"/>
        <v>41698</v>
      </c>
      <c r="B184" s="1158">
        <f t="shared" si="12"/>
        <v>2014</v>
      </c>
      <c r="C184" s="1326">
        <v>99.1</v>
      </c>
      <c r="D184" s="1326">
        <v>254.2</v>
      </c>
      <c r="E184" s="1159" t="str">
        <f>IF($A184&lt;DATE(2018,7,1),"-",INDEX('I1 - Universal Data'!$E$16:$V$16, MATCH(YEAR(EOMONTH($A184,6)), 'I1 - Universal Data'!$E$14:$V$14, 0)))</f>
        <v>-</v>
      </c>
      <c r="F184" s="1159" t="str">
        <f>IF($A184&lt;DATE(2018,7,1),"-",INDEX('I1 - Universal Data'!$E$15:$V$15, MATCH(YEAR(EOMONTH($A184,6)), 'I1 - Universal Data'!$E$14:$V$14, 0)))</f>
        <v>-</v>
      </c>
      <c r="G184" s="1160">
        <f t="shared" si="17"/>
        <v>99.1</v>
      </c>
      <c r="H184" s="1160">
        <f t="shared" si="17"/>
        <v>254.2</v>
      </c>
      <c r="U184" s="1148"/>
    </row>
    <row r="185" spans="1:21">
      <c r="A185" s="1157">
        <f t="shared" si="14"/>
        <v>41729</v>
      </c>
      <c r="B185" s="1158">
        <f t="shared" si="12"/>
        <v>2014</v>
      </c>
      <c r="C185" s="1326">
        <v>99.3</v>
      </c>
      <c r="D185" s="1326">
        <v>254.8</v>
      </c>
      <c r="E185" s="1159" t="str">
        <f>IF($A185&lt;DATE(2018,7,1),"-",INDEX('I1 - Universal Data'!$E$16:$V$16, MATCH(YEAR(EOMONTH($A185,6)), 'I1 - Universal Data'!$E$14:$V$14, 0)))</f>
        <v>-</v>
      </c>
      <c r="F185" s="1159" t="str">
        <f>IF($A185&lt;DATE(2018,7,1),"-",INDEX('I1 - Universal Data'!$E$15:$V$15, MATCH(YEAR(EOMONTH($A185,6)), 'I1 - Universal Data'!$E$14:$V$14, 0)))</f>
        <v>-</v>
      </c>
      <c r="G185" s="1160">
        <f t="shared" si="17"/>
        <v>99.3</v>
      </c>
      <c r="H185" s="1160">
        <f t="shared" si="17"/>
        <v>254.8</v>
      </c>
      <c r="U185" s="1148"/>
    </row>
    <row r="186" spans="1:21">
      <c r="A186" s="1157">
        <f t="shared" si="14"/>
        <v>41759</v>
      </c>
      <c r="B186" s="1158">
        <f t="shared" si="12"/>
        <v>2015</v>
      </c>
      <c r="C186" s="1326">
        <v>99.6</v>
      </c>
      <c r="D186" s="1326">
        <v>255.7</v>
      </c>
      <c r="E186" s="1159" t="str">
        <f>IF($A186&lt;DATE(2018,7,1),"-",INDEX('I1 - Universal Data'!$E$16:$V$16, MATCH(YEAR(EOMONTH($A186,6)), 'I1 - Universal Data'!$E$14:$V$14, 0)))</f>
        <v>-</v>
      </c>
      <c r="F186" s="1159" t="str">
        <f>IF($A186&lt;DATE(2018,7,1),"-",INDEX('I1 - Universal Data'!$E$15:$V$15, MATCH(YEAR(EOMONTH($A186,6)), 'I1 - Universal Data'!$E$14:$V$14, 0)))</f>
        <v>-</v>
      </c>
      <c r="G186" s="1160">
        <f t="shared" si="17"/>
        <v>99.6</v>
      </c>
      <c r="H186" s="1160">
        <f t="shared" si="17"/>
        <v>255.7</v>
      </c>
      <c r="U186" s="1148"/>
    </row>
    <row r="187" spans="1:21">
      <c r="A187" s="1157">
        <f t="shared" si="14"/>
        <v>41790</v>
      </c>
      <c r="B187" s="1158">
        <f t="shared" si="12"/>
        <v>2015</v>
      </c>
      <c r="C187" s="1326">
        <v>99.6</v>
      </c>
      <c r="D187" s="1326">
        <v>255.9</v>
      </c>
      <c r="E187" s="1159" t="str">
        <f>IF($A187&lt;DATE(2018,7,1),"-",INDEX('I1 - Universal Data'!$E$16:$V$16, MATCH(YEAR(EOMONTH($A187,6)), 'I1 - Universal Data'!$E$14:$V$14, 0)))</f>
        <v>-</v>
      </c>
      <c r="F187" s="1159" t="str">
        <f>IF($A187&lt;DATE(2018,7,1),"-",INDEX('I1 - Universal Data'!$E$15:$V$15, MATCH(YEAR(EOMONTH($A187,6)), 'I1 - Universal Data'!$E$14:$V$14, 0)))</f>
        <v>-</v>
      </c>
      <c r="G187" s="1160">
        <f t="shared" si="17"/>
        <v>99.6</v>
      </c>
      <c r="H187" s="1160">
        <f t="shared" si="17"/>
        <v>255.9</v>
      </c>
      <c r="U187" s="1148"/>
    </row>
    <row r="188" spans="1:21">
      <c r="A188" s="1157">
        <f t="shared" si="14"/>
        <v>41820</v>
      </c>
      <c r="B188" s="1158">
        <f t="shared" si="12"/>
        <v>2015</v>
      </c>
      <c r="C188" s="1326">
        <v>99.8</v>
      </c>
      <c r="D188" s="1326">
        <v>256.3</v>
      </c>
      <c r="E188" s="1159" t="str">
        <f>IF($A188&lt;DATE(2018,7,1),"-",INDEX('I1 - Universal Data'!$E$16:$V$16, MATCH(YEAR(EOMONTH($A188,6)), 'I1 - Universal Data'!$E$14:$V$14, 0)))</f>
        <v>-</v>
      </c>
      <c r="F188" s="1159" t="str">
        <f>IF($A188&lt;DATE(2018,7,1),"-",INDEX('I1 - Universal Data'!$E$15:$V$15, MATCH(YEAR(EOMONTH($A188,6)), 'I1 - Universal Data'!$E$14:$V$14, 0)))</f>
        <v>-</v>
      </c>
      <c r="G188" s="1160">
        <f t="shared" si="17"/>
        <v>99.8</v>
      </c>
      <c r="H188" s="1160">
        <f t="shared" si="17"/>
        <v>256.3</v>
      </c>
      <c r="U188" s="1148"/>
    </row>
    <row r="189" spans="1:21">
      <c r="A189" s="1157">
        <f t="shared" si="14"/>
        <v>41851</v>
      </c>
      <c r="B189" s="1158">
        <f t="shared" si="12"/>
        <v>2015</v>
      </c>
      <c r="C189" s="1326">
        <v>99.6</v>
      </c>
      <c r="D189" s="1326">
        <v>256</v>
      </c>
      <c r="E189" s="1159" t="str">
        <f>IF($A189&lt;DATE(2018,7,1),"-",INDEX('I1 - Universal Data'!$E$16:$V$16, MATCH(YEAR(EOMONTH($A189,6)), 'I1 - Universal Data'!$E$14:$V$14, 0)))</f>
        <v>-</v>
      </c>
      <c r="F189" s="1159" t="str">
        <f>IF($A189&lt;DATE(2018,7,1),"-",INDEX('I1 - Universal Data'!$E$15:$V$15, MATCH(YEAR(EOMONTH($A189,6)), 'I1 - Universal Data'!$E$14:$V$14, 0)))</f>
        <v>-</v>
      </c>
      <c r="G189" s="1160">
        <f t="shared" si="17"/>
        <v>99.6</v>
      </c>
      <c r="H189" s="1160">
        <f t="shared" si="17"/>
        <v>256</v>
      </c>
      <c r="U189" s="1148"/>
    </row>
    <row r="190" spans="1:21">
      <c r="A190" s="1157">
        <f t="shared" si="14"/>
        <v>41882</v>
      </c>
      <c r="B190" s="1158">
        <f t="shared" si="12"/>
        <v>2015</v>
      </c>
      <c r="C190" s="1326">
        <v>99.9</v>
      </c>
      <c r="D190" s="1326">
        <v>257</v>
      </c>
      <c r="E190" s="1159" t="str">
        <f>IF($A190&lt;DATE(2018,7,1),"-",INDEX('I1 - Universal Data'!$E$16:$V$16, MATCH(YEAR(EOMONTH($A190,6)), 'I1 - Universal Data'!$E$14:$V$14, 0)))</f>
        <v>-</v>
      </c>
      <c r="F190" s="1159" t="str">
        <f>IF($A190&lt;DATE(2018,7,1),"-",INDEX('I1 - Universal Data'!$E$15:$V$15, MATCH(YEAR(EOMONTH($A190,6)), 'I1 - Universal Data'!$E$14:$V$14, 0)))</f>
        <v>-</v>
      </c>
      <c r="G190" s="1160">
        <f t="shared" si="17"/>
        <v>99.9</v>
      </c>
      <c r="H190" s="1160">
        <f t="shared" si="17"/>
        <v>257</v>
      </c>
      <c r="U190" s="1148"/>
    </row>
    <row r="191" spans="1:21">
      <c r="A191" s="1157">
        <f t="shared" si="14"/>
        <v>41912</v>
      </c>
      <c r="B191" s="1158">
        <f t="shared" si="12"/>
        <v>2015</v>
      </c>
      <c r="C191" s="1326">
        <v>100</v>
      </c>
      <c r="D191" s="1326">
        <v>257.60000000000002</v>
      </c>
      <c r="E191" s="1159" t="str">
        <f>IF($A191&lt;DATE(2018,7,1),"-",INDEX('I1 - Universal Data'!$E$16:$V$16, MATCH(YEAR(EOMONTH($A191,6)), 'I1 - Universal Data'!$E$14:$V$14, 0)))</f>
        <v>-</v>
      </c>
      <c r="F191" s="1159" t="str">
        <f>IF($A191&lt;DATE(2018,7,1),"-",INDEX('I1 - Universal Data'!$E$15:$V$15, MATCH(YEAR(EOMONTH($A191,6)), 'I1 - Universal Data'!$E$14:$V$14, 0)))</f>
        <v>-</v>
      </c>
      <c r="G191" s="1160">
        <f t="shared" si="17"/>
        <v>100</v>
      </c>
      <c r="H191" s="1160">
        <f t="shared" si="17"/>
        <v>257.60000000000002</v>
      </c>
      <c r="U191" s="1148"/>
    </row>
    <row r="192" spans="1:21">
      <c r="A192" s="1157">
        <f t="shared" si="14"/>
        <v>41943</v>
      </c>
      <c r="B192" s="1158">
        <f t="shared" si="12"/>
        <v>2015</v>
      </c>
      <c r="C192" s="1326">
        <v>100.1</v>
      </c>
      <c r="D192" s="1326">
        <v>257.7</v>
      </c>
      <c r="E192" s="1159" t="str">
        <f>IF($A192&lt;DATE(2018,7,1),"-",INDEX('I1 - Universal Data'!$E$16:$V$16, MATCH(YEAR(EOMONTH($A192,6)), 'I1 - Universal Data'!$E$14:$V$14, 0)))</f>
        <v>-</v>
      </c>
      <c r="F192" s="1159" t="str">
        <f>IF($A192&lt;DATE(2018,7,1),"-",INDEX('I1 - Universal Data'!$E$15:$V$15, MATCH(YEAR(EOMONTH($A192,6)), 'I1 - Universal Data'!$E$14:$V$14, 0)))</f>
        <v>-</v>
      </c>
      <c r="G192" s="1160">
        <f t="shared" si="17"/>
        <v>100.1</v>
      </c>
      <c r="H192" s="1160">
        <f t="shared" si="17"/>
        <v>257.7</v>
      </c>
      <c r="U192" s="1148"/>
    </row>
    <row r="193" spans="1:21">
      <c r="A193" s="1157">
        <f t="shared" si="14"/>
        <v>41973</v>
      </c>
      <c r="B193" s="1158">
        <f t="shared" si="12"/>
        <v>2015</v>
      </c>
      <c r="C193" s="1326">
        <v>99.9</v>
      </c>
      <c r="D193" s="1326">
        <v>257.10000000000002</v>
      </c>
      <c r="E193" s="1159" t="str">
        <f>IF($A193&lt;DATE(2018,7,1),"-",INDEX('I1 - Universal Data'!$E$16:$V$16, MATCH(YEAR(EOMONTH($A193,6)), 'I1 - Universal Data'!$E$14:$V$14, 0)))</f>
        <v>-</v>
      </c>
      <c r="F193" s="1159" t="str">
        <f>IF($A193&lt;DATE(2018,7,1),"-",INDEX('I1 - Universal Data'!$E$15:$V$15, MATCH(YEAR(EOMONTH($A193,6)), 'I1 - Universal Data'!$E$14:$V$14, 0)))</f>
        <v>-</v>
      </c>
      <c r="G193" s="1160">
        <f t="shared" si="17"/>
        <v>99.9</v>
      </c>
      <c r="H193" s="1160">
        <f t="shared" si="17"/>
        <v>257.10000000000002</v>
      </c>
      <c r="U193" s="1148"/>
    </row>
    <row r="194" spans="1:21">
      <c r="A194" s="1157">
        <f t="shared" si="14"/>
        <v>42004</v>
      </c>
      <c r="B194" s="1158">
        <f t="shared" si="12"/>
        <v>2015</v>
      </c>
      <c r="C194" s="1326">
        <v>99.9</v>
      </c>
      <c r="D194" s="1326">
        <v>257.5</v>
      </c>
      <c r="E194" s="1159" t="str">
        <f>IF($A194&lt;DATE(2018,7,1),"-",INDEX('I1 - Universal Data'!$E$16:$V$16, MATCH(YEAR(EOMONTH($A194,6)), 'I1 - Universal Data'!$E$14:$V$14, 0)))</f>
        <v>-</v>
      </c>
      <c r="F194" s="1159" t="str">
        <f>IF($A194&lt;DATE(2018,7,1),"-",INDEX('I1 - Universal Data'!$E$15:$V$15, MATCH(YEAR(EOMONTH($A194,6)), 'I1 - Universal Data'!$E$14:$V$14, 0)))</f>
        <v>-</v>
      </c>
      <c r="G194" s="1160">
        <f t="shared" si="17"/>
        <v>99.9</v>
      </c>
      <c r="H194" s="1160">
        <f t="shared" si="17"/>
        <v>257.5</v>
      </c>
      <c r="U194" s="1148"/>
    </row>
    <row r="195" spans="1:21">
      <c r="A195" s="1157">
        <f t="shared" si="14"/>
        <v>42035</v>
      </c>
      <c r="B195" s="1158">
        <f t="shared" si="12"/>
        <v>2015</v>
      </c>
      <c r="C195" s="1326">
        <v>99.2</v>
      </c>
      <c r="D195" s="1326">
        <v>255.4</v>
      </c>
      <c r="E195" s="1159" t="str">
        <f>IF($A195&lt;DATE(2018,7,1),"-",INDEX('I1 - Universal Data'!$E$16:$V$16, MATCH(YEAR(EOMONTH($A195,6)), 'I1 - Universal Data'!$E$14:$V$14, 0)))</f>
        <v>-</v>
      </c>
      <c r="F195" s="1159" t="str">
        <f>IF($A195&lt;DATE(2018,7,1),"-",INDEX('I1 - Universal Data'!$E$15:$V$15, MATCH(YEAR(EOMONTH($A195,6)), 'I1 - Universal Data'!$E$14:$V$14, 0)))</f>
        <v>-</v>
      </c>
      <c r="G195" s="1160">
        <f t="shared" si="17"/>
        <v>99.2</v>
      </c>
      <c r="H195" s="1160">
        <f t="shared" si="17"/>
        <v>255.4</v>
      </c>
      <c r="U195" s="1148"/>
    </row>
    <row r="196" spans="1:21">
      <c r="A196" s="1157">
        <f t="shared" si="14"/>
        <v>42063</v>
      </c>
      <c r="B196" s="1158">
        <f t="shared" si="12"/>
        <v>2015</v>
      </c>
      <c r="C196" s="1326">
        <v>99.5</v>
      </c>
      <c r="D196" s="1326">
        <v>256.7</v>
      </c>
      <c r="E196" s="1159" t="str">
        <f>IF($A196&lt;DATE(2018,7,1),"-",INDEX('I1 - Universal Data'!$E$16:$V$16, MATCH(YEAR(EOMONTH($A196,6)), 'I1 - Universal Data'!$E$14:$V$14, 0)))</f>
        <v>-</v>
      </c>
      <c r="F196" s="1159" t="str">
        <f>IF($A196&lt;DATE(2018,7,1),"-",INDEX('I1 - Universal Data'!$E$15:$V$15, MATCH(YEAR(EOMONTH($A196,6)), 'I1 - Universal Data'!$E$14:$V$14, 0)))</f>
        <v>-</v>
      </c>
      <c r="G196" s="1160">
        <f t="shared" si="17"/>
        <v>99.5</v>
      </c>
      <c r="H196" s="1160">
        <f t="shared" si="17"/>
        <v>256.7</v>
      </c>
      <c r="U196" s="1148"/>
    </row>
    <row r="197" spans="1:21">
      <c r="A197" s="1157">
        <f t="shared" si="14"/>
        <v>42094</v>
      </c>
      <c r="B197" s="1158">
        <f t="shared" si="12"/>
        <v>2015</v>
      </c>
      <c r="C197" s="1326">
        <v>99.6</v>
      </c>
      <c r="D197" s="1326">
        <v>257.10000000000002</v>
      </c>
      <c r="E197" s="1159" t="str">
        <f>IF($A197&lt;DATE(2018,7,1),"-",INDEX('I1 - Universal Data'!$E$16:$V$16, MATCH(YEAR(EOMONTH($A197,6)), 'I1 - Universal Data'!$E$14:$V$14, 0)))</f>
        <v>-</v>
      </c>
      <c r="F197" s="1159" t="str">
        <f>IF($A197&lt;DATE(2018,7,1),"-",INDEX('I1 - Universal Data'!$E$15:$V$15, MATCH(YEAR(EOMONTH($A197,6)), 'I1 - Universal Data'!$E$14:$V$14, 0)))</f>
        <v>-</v>
      </c>
      <c r="G197" s="1160">
        <f t="shared" si="17"/>
        <v>99.6</v>
      </c>
      <c r="H197" s="1160">
        <f t="shared" si="17"/>
        <v>257.10000000000002</v>
      </c>
      <c r="U197" s="1148"/>
    </row>
    <row r="198" spans="1:21">
      <c r="A198" s="1157">
        <f t="shared" si="14"/>
        <v>42124</v>
      </c>
      <c r="B198" s="1158">
        <f t="shared" ref="B198:B261" si="18">IF(MONTH(A198)&gt;=4,YEAR(A198)+1,YEAR(A198))</f>
        <v>2016</v>
      </c>
      <c r="C198" s="1326">
        <v>99.9</v>
      </c>
      <c r="D198" s="1326">
        <v>258</v>
      </c>
      <c r="E198" s="1159" t="str">
        <f>IF($A198&lt;DATE(2018,7,1),"-",INDEX('I1 - Universal Data'!$E$16:$V$16, MATCH(YEAR(EOMONTH($A198,6)), 'I1 - Universal Data'!$E$14:$V$14, 0)))</f>
        <v>-</v>
      </c>
      <c r="F198" s="1159" t="str">
        <f>IF($A198&lt;DATE(2018,7,1),"-",INDEX('I1 - Universal Data'!$E$15:$V$15, MATCH(YEAR(EOMONTH($A198,6)), 'I1 - Universal Data'!$E$14:$V$14, 0)))</f>
        <v>-</v>
      </c>
      <c r="G198" s="1160">
        <f t="shared" ref="G198:H213" si="19">IF(ISBLANK(C198),G197*((1+E198)^(1/12)),C198)</f>
        <v>99.9</v>
      </c>
      <c r="H198" s="1160">
        <f t="shared" si="19"/>
        <v>258</v>
      </c>
      <c r="U198" s="1148"/>
    </row>
    <row r="199" spans="1:21">
      <c r="A199" s="1157">
        <f t="shared" ref="A199:A262" si="20">IF(MONTH(A198) = 12, EOMONTH(DATE(YEAR(A198) + 1, 1, 1), 0), EOMONTH(DATE(YEAR(A198), MONTH(A198) + 1, 1), 0))</f>
        <v>42155</v>
      </c>
      <c r="B199" s="1158">
        <f t="shared" si="18"/>
        <v>2016</v>
      </c>
      <c r="C199" s="1326">
        <v>100.1</v>
      </c>
      <c r="D199" s="1326">
        <v>258.5</v>
      </c>
      <c r="E199" s="1159" t="str">
        <f>IF($A199&lt;DATE(2018,7,1),"-",INDEX('I1 - Universal Data'!$E$16:$V$16, MATCH(YEAR(EOMONTH($A199,6)), 'I1 - Universal Data'!$E$14:$V$14, 0)))</f>
        <v>-</v>
      </c>
      <c r="F199" s="1159" t="str">
        <f>IF($A199&lt;DATE(2018,7,1),"-",INDEX('I1 - Universal Data'!$E$15:$V$15, MATCH(YEAR(EOMONTH($A199,6)), 'I1 - Universal Data'!$E$14:$V$14, 0)))</f>
        <v>-</v>
      </c>
      <c r="G199" s="1160">
        <f t="shared" si="19"/>
        <v>100.1</v>
      </c>
      <c r="H199" s="1160">
        <f t="shared" si="19"/>
        <v>258.5</v>
      </c>
      <c r="U199" s="1148"/>
    </row>
    <row r="200" spans="1:21">
      <c r="A200" s="1157">
        <f t="shared" si="20"/>
        <v>42185</v>
      </c>
      <c r="B200" s="1158">
        <f t="shared" si="18"/>
        <v>2016</v>
      </c>
      <c r="C200" s="1326">
        <v>100.1</v>
      </c>
      <c r="D200" s="1326">
        <v>258.89999999999998</v>
      </c>
      <c r="E200" s="1159" t="str">
        <f>IF($A200&lt;DATE(2018,7,1),"-",INDEX('I1 - Universal Data'!$E$16:$V$16, MATCH(YEAR(EOMONTH($A200,6)), 'I1 - Universal Data'!$E$14:$V$14, 0)))</f>
        <v>-</v>
      </c>
      <c r="F200" s="1159" t="str">
        <f>IF($A200&lt;DATE(2018,7,1),"-",INDEX('I1 - Universal Data'!$E$15:$V$15, MATCH(YEAR(EOMONTH($A200,6)), 'I1 - Universal Data'!$E$14:$V$14, 0)))</f>
        <v>-</v>
      </c>
      <c r="G200" s="1160">
        <f t="shared" si="19"/>
        <v>100.1</v>
      </c>
      <c r="H200" s="1160">
        <f t="shared" si="19"/>
        <v>258.89999999999998</v>
      </c>
      <c r="U200" s="1148"/>
    </row>
    <row r="201" spans="1:21">
      <c r="A201" s="1157">
        <f t="shared" si="20"/>
        <v>42216</v>
      </c>
      <c r="B201" s="1158">
        <f t="shared" si="18"/>
        <v>2016</v>
      </c>
      <c r="C201" s="1326">
        <v>100</v>
      </c>
      <c r="D201" s="1326">
        <v>258.60000000000002</v>
      </c>
      <c r="E201" s="1159" t="str">
        <f>IF($A201&lt;DATE(2018,7,1),"-",INDEX('I1 - Universal Data'!$E$16:$V$16, MATCH(YEAR(EOMONTH($A201,6)), 'I1 - Universal Data'!$E$14:$V$14, 0)))</f>
        <v>-</v>
      </c>
      <c r="F201" s="1159" t="str">
        <f>IF($A201&lt;DATE(2018,7,1),"-",INDEX('I1 - Universal Data'!$E$15:$V$15, MATCH(YEAR(EOMONTH($A201,6)), 'I1 - Universal Data'!$E$14:$V$14, 0)))</f>
        <v>-</v>
      </c>
      <c r="G201" s="1160">
        <f t="shared" si="19"/>
        <v>100</v>
      </c>
      <c r="H201" s="1160">
        <f t="shared" si="19"/>
        <v>258.60000000000002</v>
      </c>
      <c r="U201" s="1148"/>
    </row>
    <row r="202" spans="1:21">
      <c r="A202" s="1157">
        <f t="shared" si="20"/>
        <v>42247</v>
      </c>
      <c r="B202" s="1158">
        <f t="shared" si="18"/>
        <v>2016</v>
      </c>
      <c r="C202" s="1326">
        <v>100.3</v>
      </c>
      <c r="D202" s="1326">
        <v>259.8</v>
      </c>
      <c r="E202" s="1159" t="str">
        <f>IF($A202&lt;DATE(2018,7,1),"-",INDEX('I1 - Universal Data'!$E$16:$V$16, MATCH(YEAR(EOMONTH($A202,6)), 'I1 - Universal Data'!$E$14:$V$14, 0)))</f>
        <v>-</v>
      </c>
      <c r="F202" s="1159" t="str">
        <f>IF($A202&lt;DATE(2018,7,1),"-",INDEX('I1 - Universal Data'!$E$15:$V$15, MATCH(YEAR(EOMONTH($A202,6)), 'I1 - Universal Data'!$E$14:$V$14, 0)))</f>
        <v>-</v>
      </c>
      <c r="G202" s="1160">
        <f t="shared" si="19"/>
        <v>100.3</v>
      </c>
      <c r="H202" s="1160">
        <f t="shared" si="19"/>
        <v>259.8</v>
      </c>
      <c r="U202" s="1148"/>
    </row>
    <row r="203" spans="1:21">
      <c r="A203" s="1157">
        <f t="shared" si="20"/>
        <v>42277</v>
      </c>
      <c r="B203" s="1158">
        <f t="shared" si="18"/>
        <v>2016</v>
      </c>
      <c r="C203" s="1326">
        <v>100.2</v>
      </c>
      <c r="D203" s="1326">
        <v>259.60000000000002</v>
      </c>
      <c r="E203" s="1159" t="str">
        <f>IF($A203&lt;DATE(2018,7,1),"-",INDEX('I1 - Universal Data'!$E$16:$V$16, MATCH(YEAR(EOMONTH($A203,6)), 'I1 - Universal Data'!$E$14:$V$14, 0)))</f>
        <v>-</v>
      </c>
      <c r="F203" s="1159" t="str">
        <f>IF($A203&lt;DATE(2018,7,1),"-",INDEX('I1 - Universal Data'!$E$15:$V$15, MATCH(YEAR(EOMONTH($A203,6)), 'I1 - Universal Data'!$E$14:$V$14, 0)))</f>
        <v>-</v>
      </c>
      <c r="G203" s="1160">
        <f t="shared" si="19"/>
        <v>100.2</v>
      </c>
      <c r="H203" s="1160">
        <f t="shared" si="19"/>
        <v>259.60000000000002</v>
      </c>
      <c r="U203" s="1148"/>
    </row>
    <row r="204" spans="1:21">
      <c r="A204" s="1157">
        <f t="shared" si="20"/>
        <v>42308</v>
      </c>
      <c r="B204" s="1158">
        <f t="shared" si="18"/>
        <v>2016</v>
      </c>
      <c r="C204" s="1326">
        <v>100.3</v>
      </c>
      <c r="D204" s="1326">
        <v>259.5</v>
      </c>
      <c r="E204" s="1159" t="str">
        <f>IF($A204&lt;DATE(2018,7,1),"-",INDEX('I1 - Universal Data'!$E$16:$V$16, MATCH(YEAR(EOMONTH($A204,6)), 'I1 - Universal Data'!$E$14:$V$14, 0)))</f>
        <v>-</v>
      </c>
      <c r="F204" s="1159" t="str">
        <f>IF($A204&lt;DATE(2018,7,1),"-",INDEX('I1 - Universal Data'!$E$15:$V$15, MATCH(YEAR(EOMONTH($A204,6)), 'I1 - Universal Data'!$E$14:$V$14, 0)))</f>
        <v>-</v>
      </c>
      <c r="G204" s="1160">
        <f t="shared" si="19"/>
        <v>100.3</v>
      </c>
      <c r="H204" s="1160">
        <f t="shared" si="19"/>
        <v>259.5</v>
      </c>
      <c r="U204" s="1148"/>
    </row>
    <row r="205" spans="1:21">
      <c r="A205" s="1157">
        <f t="shared" si="20"/>
        <v>42338</v>
      </c>
      <c r="B205" s="1158">
        <f t="shared" si="18"/>
        <v>2016</v>
      </c>
      <c r="C205" s="1326">
        <v>100.3</v>
      </c>
      <c r="D205" s="1326">
        <v>259.8</v>
      </c>
      <c r="E205" s="1159" t="str">
        <f>IF($A205&lt;DATE(2018,7,1),"-",INDEX('I1 - Universal Data'!$E$16:$V$16, MATCH(YEAR(EOMONTH($A205,6)), 'I1 - Universal Data'!$E$14:$V$14, 0)))</f>
        <v>-</v>
      </c>
      <c r="F205" s="1159" t="str">
        <f>IF($A205&lt;DATE(2018,7,1),"-",INDEX('I1 - Universal Data'!$E$15:$V$15, MATCH(YEAR(EOMONTH($A205,6)), 'I1 - Universal Data'!$E$14:$V$14, 0)))</f>
        <v>-</v>
      </c>
      <c r="G205" s="1160">
        <f t="shared" si="19"/>
        <v>100.3</v>
      </c>
      <c r="H205" s="1160">
        <f t="shared" si="19"/>
        <v>259.8</v>
      </c>
      <c r="U205" s="1148"/>
    </row>
    <row r="206" spans="1:21">
      <c r="A206" s="1157">
        <f t="shared" si="20"/>
        <v>42369</v>
      </c>
      <c r="B206" s="1158">
        <f t="shared" si="18"/>
        <v>2016</v>
      </c>
      <c r="C206" s="1326">
        <v>100.4</v>
      </c>
      <c r="D206" s="1326">
        <v>260.60000000000002</v>
      </c>
      <c r="E206" s="1159" t="str">
        <f>IF($A206&lt;DATE(2018,7,1),"-",INDEX('I1 - Universal Data'!$E$16:$V$16, MATCH(YEAR(EOMONTH($A206,6)), 'I1 - Universal Data'!$E$14:$V$14, 0)))</f>
        <v>-</v>
      </c>
      <c r="F206" s="1159" t="str">
        <f>IF($A206&lt;DATE(2018,7,1),"-",INDEX('I1 - Universal Data'!$E$15:$V$15, MATCH(YEAR(EOMONTH($A206,6)), 'I1 - Universal Data'!$E$14:$V$14, 0)))</f>
        <v>-</v>
      </c>
      <c r="G206" s="1160">
        <f t="shared" si="19"/>
        <v>100.4</v>
      </c>
      <c r="H206" s="1160">
        <f t="shared" si="19"/>
        <v>260.60000000000002</v>
      </c>
      <c r="U206" s="1148"/>
    </row>
    <row r="207" spans="1:21">
      <c r="A207" s="1157">
        <f t="shared" si="20"/>
        <v>42400</v>
      </c>
      <c r="B207" s="1158">
        <f t="shared" si="18"/>
        <v>2016</v>
      </c>
      <c r="C207" s="1326">
        <v>99.9</v>
      </c>
      <c r="D207" s="1326">
        <v>258.8</v>
      </c>
      <c r="E207" s="1159" t="str">
        <f>IF($A207&lt;DATE(2018,7,1),"-",INDEX('I1 - Universal Data'!$E$16:$V$16, MATCH(YEAR(EOMONTH($A207,6)), 'I1 - Universal Data'!$E$14:$V$14, 0)))</f>
        <v>-</v>
      </c>
      <c r="F207" s="1159" t="str">
        <f>IF($A207&lt;DATE(2018,7,1),"-",INDEX('I1 - Universal Data'!$E$15:$V$15, MATCH(YEAR(EOMONTH($A207,6)), 'I1 - Universal Data'!$E$14:$V$14, 0)))</f>
        <v>-</v>
      </c>
      <c r="G207" s="1160">
        <f t="shared" si="19"/>
        <v>99.9</v>
      </c>
      <c r="H207" s="1160">
        <f t="shared" si="19"/>
        <v>258.8</v>
      </c>
      <c r="U207" s="1148"/>
    </row>
    <row r="208" spans="1:21">
      <c r="A208" s="1157">
        <f t="shared" si="20"/>
        <v>42429</v>
      </c>
      <c r="B208" s="1158">
        <f t="shared" si="18"/>
        <v>2016</v>
      </c>
      <c r="C208" s="1326">
        <v>100.1</v>
      </c>
      <c r="D208" s="1326">
        <v>260</v>
      </c>
      <c r="E208" s="1159" t="str">
        <f>IF($A208&lt;DATE(2018,7,1),"-",INDEX('I1 - Universal Data'!$E$16:$V$16, MATCH(YEAR(EOMONTH($A208,6)), 'I1 - Universal Data'!$E$14:$V$14, 0)))</f>
        <v>-</v>
      </c>
      <c r="F208" s="1159" t="str">
        <f>IF($A208&lt;DATE(2018,7,1),"-",INDEX('I1 - Universal Data'!$E$15:$V$15, MATCH(YEAR(EOMONTH($A208,6)), 'I1 - Universal Data'!$E$14:$V$14, 0)))</f>
        <v>-</v>
      </c>
      <c r="G208" s="1160">
        <f t="shared" si="19"/>
        <v>100.1</v>
      </c>
      <c r="H208" s="1160">
        <f t="shared" si="19"/>
        <v>260</v>
      </c>
      <c r="U208" s="1148"/>
    </row>
    <row r="209" spans="1:21">
      <c r="A209" s="1157">
        <f t="shared" si="20"/>
        <v>42460</v>
      </c>
      <c r="B209" s="1158">
        <f t="shared" si="18"/>
        <v>2016</v>
      </c>
      <c r="C209" s="1326">
        <v>100.4</v>
      </c>
      <c r="D209" s="1326">
        <v>261.10000000000002</v>
      </c>
      <c r="E209" s="1159" t="str">
        <f>IF($A209&lt;DATE(2018,7,1),"-",INDEX('I1 - Universal Data'!$E$16:$V$16, MATCH(YEAR(EOMONTH($A209,6)), 'I1 - Universal Data'!$E$14:$V$14, 0)))</f>
        <v>-</v>
      </c>
      <c r="F209" s="1159" t="str">
        <f>IF($A209&lt;DATE(2018,7,1),"-",INDEX('I1 - Universal Data'!$E$15:$V$15, MATCH(YEAR(EOMONTH($A209,6)), 'I1 - Universal Data'!$E$14:$V$14, 0)))</f>
        <v>-</v>
      </c>
      <c r="G209" s="1160">
        <f t="shared" si="19"/>
        <v>100.4</v>
      </c>
      <c r="H209" s="1160">
        <f t="shared" si="19"/>
        <v>261.10000000000002</v>
      </c>
      <c r="U209" s="1148"/>
    </row>
    <row r="210" spans="1:21">
      <c r="A210" s="1157">
        <f t="shared" si="20"/>
        <v>42490</v>
      </c>
      <c r="B210" s="1158">
        <f t="shared" si="18"/>
        <v>2017</v>
      </c>
      <c r="C210" s="1326">
        <v>100.6</v>
      </c>
      <c r="D210" s="1326">
        <v>261.39999999999998</v>
      </c>
      <c r="E210" s="1159" t="str">
        <f>IF($A210&lt;DATE(2018,7,1),"-",INDEX('I1 - Universal Data'!$E$16:$V$16, MATCH(YEAR(EOMONTH($A210,6)), 'I1 - Universal Data'!$E$14:$V$14, 0)))</f>
        <v>-</v>
      </c>
      <c r="F210" s="1159" t="str">
        <f>IF($A210&lt;DATE(2018,7,1),"-",INDEX('I1 - Universal Data'!$E$15:$V$15, MATCH(YEAR(EOMONTH($A210,6)), 'I1 - Universal Data'!$E$14:$V$14, 0)))</f>
        <v>-</v>
      </c>
      <c r="G210" s="1160">
        <f t="shared" si="19"/>
        <v>100.6</v>
      </c>
      <c r="H210" s="1160">
        <f t="shared" si="19"/>
        <v>261.39999999999998</v>
      </c>
      <c r="U210" s="1148"/>
    </row>
    <row r="211" spans="1:21">
      <c r="A211" s="1157">
        <f t="shared" si="20"/>
        <v>42521</v>
      </c>
      <c r="B211" s="1158">
        <f t="shared" si="18"/>
        <v>2017</v>
      </c>
      <c r="C211" s="1326">
        <v>100.8</v>
      </c>
      <c r="D211" s="1326">
        <v>262.10000000000002</v>
      </c>
      <c r="E211" s="1159" t="str">
        <f>IF($A211&lt;DATE(2018,7,1),"-",INDEX('I1 - Universal Data'!$E$16:$V$16, MATCH(YEAR(EOMONTH($A211,6)), 'I1 - Universal Data'!$E$14:$V$14, 0)))</f>
        <v>-</v>
      </c>
      <c r="F211" s="1159" t="str">
        <f>IF($A211&lt;DATE(2018,7,1),"-",INDEX('I1 - Universal Data'!$E$15:$V$15, MATCH(YEAR(EOMONTH($A211,6)), 'I1 - Universal Data'!$E$14:$V$14, 0)))</f>
        <v>-</v>
      </c>
      <c r="G211" s="1160">
        <f t="shared" si="19"/>
        <v>100.8</v>
      </c>
      <c r="H211" s="1160">
        <f t="shared" si="19"/>
        <v>262.10000000000002</v>
      </c>
      <c r="U211" s="1148"/>
    </row>
    <row r="212" spans="1:21">
      <c r="A212" s="1157">
        <f t="shared" si="20"/>
        <v>42551</v>
      </c>
      <c r="B212" s="1158">
        <f t="shared" si="18"/>
        <v>2017</v>
      </c>
      <c r="C212" s="1326">
        <v>101</v>
      </c>
      <c r="D212" s="1326">
        <v>263.10000000000002</v>
      </c>
      <c r="E212" s="1159" t="str">
        <f>IF($A212&lt;DATE(2018,7,1),"-",INDEX('I1 - Universal Data'!$E$16:$V$16, MATCH(YEAR(EOMONTH($A212,6)), 'I1 - Universal Data'!$E$14:$V$14, 0)))</f>
        <v>-</v>
      </c>
      <c r="F212" s="1159" t="str">
        <f>IF($A212&lt;DATE(2018,7,1),"-",INDEX('I1 - Universal Data'!$E$15:$V$15, MATCH(YEAR(EOMONTH($A212,6)), 'I1 - Universal Data'!$E$14:$V$14, 0)))</f>
        <v>-</v>
      </c>
      <c r="G212" s="1160">
        <f t="shared" si="19"/>
        <v>101</v>
      </c>
      <c r="H212" s="1160">
        <f t="shared" si="19"/>
        <v>263.10000000000002</v>
      </c>
      <c r="U212" s="1148"/>
    </row>
    <row r="213" spans="1:21">
      <c r="A213" s="1157">
        <f t="shared" si="20"/>
        <v>42582</v>
      </c>
      <c r="B213" s="1158">
        <f t="shared" si="18"/>
        <v>2017</v>
      </c>
      <c r="C213" s="1326">
        <v>100.9</v>
      </c>
      <c r="D213" s="1326">
        <v>263.39999999999998</v>
      </c>
      <c r="E213" s="1159" t="str">
        <f>IF($A213&lt;DATE(2018,7,1),"-",INDEX('I1 - Universal Data'!$E$16:$V$16, MATCH(YEAR(EOMONTH($A213,6)), 'I1 - Universal Data'!$E$14:$V$14, 0)))</f>
        <v>-</v>
      </c>
      <c r="F213" s="1159" t="str">
        <f>IF($A213&lt;DATE(2018,7,1),"-",INDEX('I1 - Universal Data'!$E$15:$V$15, MATCH(YEAR(EOMONTH($A213,6)), 'I1 - Universal Data'!$E$14:$V$14, 0)))</f>
        <v>-</v>
      </c>
      <c r="G213" s="1160">
        <f t="shared" si="19"/>
        <v>100.9</v>
      </c>
      <c r="H213" s="1160">
        <f t="shared" si="19"/>
        <v>263.39999999999998</v>
      </c>
      <c r="U213" s="1148"/>
    </row>
    <row r="214" spans="1:21">
      <c r="A214" s="1157">
        <f t="shared" si="20"/>
        <v>42613</v>
      </c>
      <c r="B214" s="1158">
        <f t="shared" si="18"/>
        <v>2017</v>
      </c>
      <c r="C214" s="1326">
        <v>101.2</v>
      </c>
      <c r="D214" s="1326">
        <v>264.39999999999998</v>
      </c>
      <c r="E214" s="1159" t="str">
        <f>IF($A214&lt;DATE(2018,7,1),"-",INDEX('I1 - Universal Data'!$E$16:$V$16, MATCH(YEAR(EOMONTH($A214,6)), 'I1 - Universal Data'!$E$14:$V$14, 0)))</f>
        <v>-</v>
      </c>
      <c r="F214" s="1159" t="str">
        <f>IF($A214&lt;DATE(2018,7,1),"-",INDEX('I1 - Universal Data'!$E$15:$V$15, MATCH(YEAR(EOMONTH($A214,6)), 'I1 - Universal Data'!$E$14:$V$14, 0)))</f>
        <v>-</v>
      </c>
      <c r="G214" s="1160">
        <f t="shared" ref="G214:H229" si="21">IF(ISBLANK(C214),G213*((1+E214)^(1/12)),C214)</f>
        <v>101.2</v>
      </c>
      <c r="H214" s="1160">
        <f t="shared" si="21"/>
        <v>264.39999999999998</v>
      </c>
      <c r="U214" s="1148"/>
    </row>
    <row r="215" spans="1:21">
      <c r="A215" s="1157">
        <f t="shared" si="20"/>
        <v>42643</v>
      </c>
      <c r="B215" s="1158">
        <f t="shared" si="18"/>
        <v>2017</v>
      </c>
      <c r="C215" s="1326">
        <v>101.5</v>
      </c>
      <c r="D215" s="1326">
        <v>264.89999999999998</v>
      </c>
      <c r="E215" s="1159" t="str">
        <f>IF($A215&lt;DATE(2018,7,1),"-",INDEX('I1 - Universal Data'!$E$16:$V$16, MATCH(YEAR(EOMONTH($A215,6)), 'I1 - Universal Data'!$E$14:$V$14, 0)))</f>
        <v>-</v>
      </c>
      <c r="F215" s="1159" t="str">
        <f>IF($A215&lt;DATE(2018,7,1),"-",INDEX('I1 - Universal Data'!$E$15:$V$15, MATCH(YEAR(EOMONTH($A215,6)), 'I1 - Universal Data'!$E$14:$V$14, 0)))</f>
        <v>-</v>
      </c>
      <c r="G215" s="1160">
        <f t="shared" si="21"/>
        <v>101.5</v>
      </c>
      <c r="H215" s="1160">
        <f t="shared" si="21"/>
        <v>264.89999999999998</v>
      </c>
      <c r="U215" s="1148"/>
    </row>
    <row r="216" spans="1:21">
      <c r="A216" s="1157">
        <f t="shared" si="20"/>
        <v>42674</v>
      </c>
      <c r="B216" s="1158">
        <f t="shared" si="18"/>
        <v>2017</v>
      </c>
      <c r="C216" s="1326">
        <v>101.6</v>
      </c>
      <c r="D216" s="1326">
        <v>264.8</v>
      </c>
      <c r="E216" s="1159" t="str">
        <f>IF($A216&lt;DATE(2018,7,1),"-",INDEX('I1 - Universal Data'!$E$16:$V$16, MATCH(YEAR(EOMONTH($A216,6)), 'I1 - Universal Data'!$E$14:$V$14, 0)))</f>
        <v>-</v>
      </c>
      <c r="F216" s="1159" t="str">
        <f>IF($A216&lt;DATE(2018,7,1),"-",INDEX('I1 - Universal Data'!$E$15:$V$15, MATCH(YEAR(EOMONTH($A216,6)), 'I1 - Universal Data'!$E$14:$V$14, 0)))</f>
        <v>-</v>
      </c>
      <c r="G216" s="1160">
        <f t="shared" si="21"/>
        <v>101.6</v>
      </c>
      <c r="H216" s="1160">
        <f t="shared" si="21"/>
        <v>264.8</v>
      </c>
      <c r="U216" s="1148"/>
    </row>
    <row r="217" spans="1:21">
      <c r="A217" s="1157">
        <f t="shared" si="20"/>
        <v>42704</v>
      </c>
      <c r="B217" s="1158">
        <f t="shared" si="18"/>
        <v>2017</v>
      </c>
      <c r="C217" s="1326">
        <v>101.8</v>
      </c>
      <c r="D217" s="1326">
        <v>265.5</v>
      </c>
      <c r="E217" s="1159" t="str">
        <f>IF($A217&lt;DATE(2018,7,1),"-",INDEX('I1 - Universal Data'!$E$16:$V$16, MATCH(YEAR(EOMONTH($A217,6)), 'I1 - Universal Data'!$E$14:$V$14, 0)))</f>
        <v>-</v>
      </c>
      <c r="F217" s="1159" t="str">
        <f>IF($A217&lt;DATE(2018,7,1),"-",INDEX('I1 - Universal Data'!$E$15:$V$15, MATCH(YEAR(EOMONTH($A217,6)), 'I1 - Universal Data'!$E$14:$V$14, 0)))</f>
        <v>-</v>
      </c>
      <c r="G217" s="1160">
        <f t="shared" si="21"/>
        <v>101.8</v>
      </c>
      <c r="H217" s="1160">
        <f t="shared" si="21"/>
        <v>265.5</v>
      </c>
      <c r="U217" s="1148"/>
    </row>
    <row r="218" spans="1:21">
      <c r="A218" s="1157">
        <f t="shared" si="20"/>
        <v>42735</v>
      </c>
      <c r="B218" s="1158">
        <f t="shared" si="18"/>
        <v>2017</v>
      </c>
      <c r="C218" s="1326">
        <v>102.2</v>
      </c>
      <c r="D218" s="1326">
        <v>267.10000000000002</v>
      </c>
      <c r="E218" s="1159" t="str">
        <f>IF($A218&lt;DATE(2018,7,1),"-",INDEX('I1 - Universal Data'!$E$16:$V$16, MATCH(YEAR(EOMONTH($A218,6)), 'I1 - Universal Data'!$E$14:$V$14, 0)))</f>
        <v>-</v>
      </c>
      <c r="F218" s="1159" t="str">
        <f>IF($A218&lt;DATE(2018,7,1),"-",INDEX('I1 - Universal Data'!$E$15:$V$15, MATCH(YEAR(EOMONTH($A218,6)), 'I1 - Universal Data'!$E$14:$V$14, 0)))</f>
        <v>-</v>
      </c>
      <c r="G218" s="1160">
        <f t="shared" si="21"/>
        <v>102.2</v>
      </c>
      <c r="H218" s="1160">
        <f t="shared" si="21"/>
        <v>267.10000000000002</v>
      </c>
      <c r="U218" s="1148"/>
    </row>
    <row r="219" spans="1:21">
      <c r="A219" s="1157">
        <f t="shared" si="20"/>
        <v>42766</v>
      </c>
      <c r="B219" s="1158">
        <f t="shared" si="18"/>
        <v>2017</v>
      </c>
      <c r="C219" s="1326">
        <v>101.8</v>
      </c>
      <c r="D219" s="1326">
        <v>265.5</v>
      </c>
      <c r="E219" s="1159" t="str">
        <f>IF($A219&lt;DATE(2018,7,1),"-",INDEX('I1 - Universal Data'!$E$16:$V$16, MATCH(YEAR(EOMONTH($A219,6)), 'I1 - Universal Data'!$E$14:$V$14, 0)))</f>
        <v>-</v>
      </c>
      <c r="F219" s="1159" t="str">
        <f>IF($A219&lt;DATE(2018,7,1),"-",INDEX('I1 - Universal Data'!$E$15:$V$15, MATCH(YEAR(EOMONTH($A219,6)), 'I1 - Universal Data'!$E$14:$V$14, 0)))</f>
        <v>-</v>
      </c>
      <c r="G219" s="1160">
        <f t="shared" si="21"/>
        <v>101.8</v>
      </c>
      <c r="H219" s="1160">
        <f t="shared" si="21"/>
        <v>265.5</v>
      </c>
      <c r="U219" s="1148"/>
    </row>
    <row r="220" spans="1:21">
      <c r="A220" s="1157">
        <f t="shared" si="20"/>
        <v>42794</v>
      </c>
      <c r="B220" s="1158">
        <f t="shared" si="18"/>
        <v>2017</v>
      </c>
      <c r="C220" s="1326">
        <v>102.4</v>
      </c>
      <c r="D220" s="1326">
        <v>268.39999999999998</v>
      </c>
      <c r="E220" s="1159" t="str">
        <f>IF($A220&lt;DATE(2018,7,1),"-",INDEX('I1 - Universal Data'!$E$16:$V$16, MATCH(YEAR(EOMONTH($A220,6)), 'I1 - Universal Data'!$E$14:$V$14, 0)))</f>
        <v>-</v>
      </c>
      <c r="F220" s="1159" t="str">
        <f>IF($A220&lt;DATE(2018,7,1),"-",INDEX('I1 - Universal Data'!$E$15:$V$15, MATCH(YEAR(EOMONTH($A220,6)), 'I1 - Universal Data'!$E$14:$V$14, 0)))</f>
        <v>-</v>
      </c>
      <c r="G220" s="1160">
        <f t="shared" si="21"/>
        <v>102.4</v>
      </c>
      <c r="H220" s="1160">
        <f t="shared" si="21"/>
        <v>268.39999999999998</v>
      </c>
      <c r="U220" s="1148"/>
    </row>
    <row r="221" spans="1:21">
      <c r="A221" s="1157">
        <f t="shared" si="20"/>
        <v>42825</v>
      </c>
      <c r="B221" s="1158">
        <f t="shared" si="18"/>
        <v>2017</v>
      </c>
      <c r="C221" s="1326">
        <v>102.7</v>
      </c>
      <c r="D221" s="1326">
        <v>269.3</v>
      </c>
      <c r="E221" s="1159" t="str">
        <f>IF($A221&lt;DATE(2018,7,1),"-",INDEX('I1 - Universal Data'!$E$16:$V$16, MATCH(YEAR(EOMONTH($A221,6)), 'I1 - Universal Data'!$E$14:$V$14, 0)))</f>
        <v>-</v>
      </c>
      <c r="F221" s="1159" t="str">
        <f>IF($A221&lt;DATE(2018,7,1),"-",INDEX('I1 - Universal Data'!$E$15:$V$15, MATCH(YEAR(EOMONTH($A221,6)), 'I1 - Universal Data'!$E$14:$V$14, 0)))</f>
        <v>-</v>
      </c>
      <c r="G221" s="1160">
        <f t="shared" si="21"/>
        <v>102.7</v>
      </c>
      <c r="H221" s="1160">
        <f t="shared" si="21"/>
        <v>269.3</v>
      </c>
      <c r="U221" s="1148"/>
    </row>
    <row r="222" spans="1:21">
      <c r="A222" s="1157">
        <f t="shared" si="20"/>
        <v>42855</v>
      </c>
      <c r="B222" s="1158">
        <f t="shared" si="18"/>
        <v>2018</v>
      </c>
      <c r="C222" s="1326">
        <v>103.2</v>
      </c>
      <c r="D222" s="1326">
        <v>270.60000000000002</v>
      </c>
      <c r="E222" s="1159" t="str">
        <f>IF($A222&lt;DATE(2018,7,1),"-",INDEX('I1 - Universal Data'!$E$16:$V$16, MATCH(YEAR(EOMONTH($A222,6)), 'I1 - Universal Data'!$E$14:$V$14, 0)))</f>
        <v>-</v>
      </c>
      <c r="F222" s="1159" t="str">
        <f>IF($A222&lt;DATE(2018,7,1),"-",INDEX('I1 - Universal Data'!$E$15:$V$15, MATCH(YEAR(EOMONTH($A222,6)), 'I1 - Universal Data'!$E$14:$V$14, 0)))</f>
        <v>-</v>
      </c>
      <c r="G222" s="1160">
        <f t="shared" si="21"/>
        <v>103.2</v>
      </c>
      <c r="H222" s="1160">
        <f t="shared" si="21"/>
        <v>270.60000000000002</v>
      </c>
      <c r="U222" s="1148"/>
    </row>
    <row r="223" spans="1:21">
      <c r="A223" s="1157">
        <f t="shared" si="20"/>
        <v>42886</v>
      </c>
      <c r="B223" s="1158">
        <f t="shared" si="18"/>
        <v>2018</v>
      </c>
      <c r="C223" s="1326">
        <v>103.5</v>
      </c>
      <c r="D223" s="1326">
        <v>271.7</v>
      </c>
      <c r="E223" s="1159" t="str">
        <f>IF($A223&lt;DATE(2018,7,1),"-",INDEX('I1 - Universal Data'!$E$16:$V$16, MATCH(YEAR(EOMONTH($A223,6)), 'I1 - Universal Data'!$E$14:$V$14, 0)))</f>
        <v>-</v>
      </c>
      <c r="F223" s="1159" t="str">
        <f>IF($A223&lt;DATE(2018,7,1),"-",INDEX('I1 - Universal Data'!$E$15:$V$15, MATCH(YEAR(EOMONTH($A223,6)), 'I1 - Universal Data'!$E$14:$V$14, 0)))</f>
        <v>-</v>
      </c>
      <c r="G223" s="1160">
        <f t="shared" si="21"/>
        <v>103.5</v>
      </c>
      <c r="H223" s="1160">
        <f t="shared" si="21"/>
        <v>271.7</v>
      </c>
      <c r="U223" s="1148"/>
    </row>
    <row r="224" spans="1:21">
      <c r="A224" s="1157">
        <f t="shared" si="20"/>
        <v>42916</v>
      </c>
      <c r="B224" s="1158">
        <f t="shared" si="18"/>
        <v>2018</v>
      </c>
      <c r="C224" s="1326">
        <v>103.5</v>
      </c>
      <c r="D224" s="1326">
        <v>272.3</v>
      </c>
      <c r="E224" s="1159" t="str">
        <f>IF($A224&lt;DATE(2018,7,1),"-",INDEX('I1 - Universal Data'!$E$16:$V$16, MATCH(YEAR(EOMONTH($A224,6)), 'I1 - Universal Data'!$E$14:$V$14, 0)))</f>
        <v>-</v>
      </c>
      <c r="F224" s="1159" t="str">
        <f>IF($A224&lt;DATE(2018,7,1),"-",INDEX('I1 - Universal Data'!$E$15:$V$15, MATCH(YEAR(EOMONTH($A224,6)), 'I1 - Universal Data'!$E$14:$V$14, 0)))</f>
        <v>-</v>
      </c>
      <c r="G224" s="1160">
        <f t="shared" si="21"/>
        <v>103.5</v>
      </c>
      <c r="H224" s="1160">
        <f t="shared" si="21"/>
        <v>272.3</v>
      </c>
      <c r="U224" s="1148"/>
    </row>
    <row r="225" spans="1:21">
      <c r="A225" s="1157">
        <f t="shared" si="20"/>
        <v>42947</v>
      </c>
      <c r="B225" s="1158">
        <f t="shared" si="18"/>
        <v>2018</v>
      </c>
      <c r="C225" s="1326">
        <v>103.5</v>
      </c>
      <c r="D225" s="1326">
        <v>272.89999999999998</v>
      </c>
      <c r="E225" s="1159" t="str">
        <f>IF($A225&lt;DATE(2018,7,1),"-",INDEX('I1 - Universal Data'!$E$16:$V$16, MATCH(YEAR(EOMONTH($A225,6)), 'I1 - Universal Data'!$E$14:$V$14, 0)))</f>
        <v>-</v>
      </c>
      <c r="F225" s="1159" t="str">
        <f>IF($A225&lt;DATE(2018,7,1),"-",INDEX('I1 - Universal Data'!$E$15:$V$15, MATCH(YEAR(EOMONTH($A225,6)), 'I1 - Universal Data'!$E$14:$V$14, 0)))</f>
        <v>-</v>
      </c>
      <c r="G225" s="1160">
        <f t="shared" si="21"/>
        <v>103.5</v>
      </c>
      <c r="H225" s="1160">
        <f t="shared" si="21"/>
        <v>272.89999999999998</v>
      </c>
      <c r="U225" s="1148"/>
    </row>
    <row r="226" spans="1:21">
      <c r="A226" s="1157">
        <f t="shared" si="20"/>
        <v>42978</v>
      </c>
      <c r="B226" s="1158">
        <f t="shared" si="18"/>
        <v>2018</v>
      </c>
      <c r="C226" s="1326">
        <v>104</v>
      </c>
      <c r="D226" s="1326">
        <v>274.7</v>
      </c>
      <c r="E226" s="1159" t="str">
        <f>IF($A226&lt;DATE(2018,7,1),"-",INDEX('I1 - Universal Data'!$E$16:$V$16, MATCH(YEAR(EOMONTH($A226,6)), 'I1 - Universal Data'!$E$14:$V$14, 0)))</f>
        <v>-</v>
      </c>
      <c r="F226" s="1159" t="str">
        <f>IF($A226&lt;DATE(2018,7,1),"-",INDEX('I1 - Universal Data'!$E$15:$V$15, MATCH(YEAR(EOMONTH($A226,6)), 'I1 - Universal Data'!$E$14:$V$14, 0)))</f>
        <v>-</v>
      </c>
      <c r="G226" s="1160">
        <f t="shared" si="21"/>
        <v>104</v>
      </c>
      <c r="H226" s="1160">
        <f t="shared" si="21"/>
        <v>274.7</v>
      </c>
      <c r="U226" s="1148"/>
    </row>
    <row r="227" spans="1:21">
      <c r="A227" s="1157">
        <f t="shared" si="20"/>
        <v>43008</v>
      </c>
      <c r="B227" s="1158">
        <f t="shared" si="18"/>
        <v>2018</v>
      </c>
      <c r="C227" s="1326">
        <v>104.3</v>
      </c>
      <c r="D227" s="1326">
        <v>275.10000000000002</v>
      </c>
      <c r="E227" s="1159" t="str">
        <f>IF($A227&lt;DATE(2018,7,1),"-",INDEX('I1 - Universal Data'!$E$16:$V$16, MATCH(YEAR(EOMONTH($A227,6)), 'I1 - Universal Data'!$E$14:$V$14, 0)))</f>
        <v>-</v>
      </c>
      <c r="F227" s="1159" t="str">
        <f>IF($A227&lt;DATE(2018,7,1),"-",INDEX('I1 - Universal Data'!$E$15:$V$15, MATCH(YEAR(EOMONTH($A227,6)), 'I1 - Universal Data'!$E$14:$V$14, 0)))</f>
        <v>-</v>
      </c>
      <c r="G227" s="1160">
        <f t="shared" si="21"/>
        <v>104.3</v>
      </c>
      <c r="H227" s="1160">
        <f t="shared" si="21"/>
        <v>275.10000000000002</v>
      </c>
      <c r="U227" s="1148"/>
    </row>
    <row r="228" spans="1:21">
      <c r="A228" s="1157">
        <f t="shared" si="20"/>
        <v>43039</v>
      </c>
      <c r="B228" s="1158">
        <f t="shared" si="18"/>
        <v>2018</v>
      </c>
      <c r="C228" s="1326">
        <v>104.4</v>
      </c>
      <c r="D228" s="1326">
        <v>275.3</v>
      </c>
      <c r="E228" s="1159" t="str">
        <f>IF($A228&lt;DATE(2018,7,1),"-",INDEX('I1 - Universal Data'!$E$16:$V$16, MATCH(YEAR(EOMONTH($A228,6)), 'I1 - Universal Data'!$E$14:$V$14, 0)))</f>
        <v>-</v>
      </c>
      <c r="F228" s="1159" t="str">
        <f>IF($A228&lt;DATE(2018,7,1),"-",INDEX('I1 - Universal Data'!$E$15:$V$15, MATCH(YEAR(EOMONTH($A228,6)), 'I1 - Universal Data'!$E$14:$V$14, 0)))</f>
        <v>-</v>
      </c>
      <c r="G228" s="1160">
        <f t="shared" si="21"/>
        <v>104.4</v>
      </c>
      <c r="H228" s="1160">
        <f t="shared" si="21"/>
        <v>275.3</v>
      </c>
      <c r="U228" s="1148"/>
    </row>
    <row r="229" spans="1:21">
      <c r="A229" s="1157">
        <f t="shared" si="20"/>
        <v>43069</v>
      </c>
      <c r="B229" s="1158">
        <f t="shared" si="18"/>
        <v>2018</v>
      </c>
      <c r="C229" s="1326">
        <v>104.7</v>
      </c>
      <c r="D229" s="1326">
        <v>275.8</v>
      </c>
      <c r="E229" s="1159" t="str">
        <f>IF($A229&lt;DATE(2018,7,1),"-",INDEX('I1 - Universal Data'!$E$16:$V$16, MATCH(YEAR(EOMONTH($A229,6)), 'I1 - Universal Data'!$E$14:$V$14, 0)))</f>
        <v>-</v>
      </c>
      <c r="F229" s="1159" t="str">
        <f>IF($A229&lt;DATE(2018,7,1),"-",INDEX('I1 - Universal Data'!$E$15:$V$15, MATCH(YEAR(EOMONTH($A229,6)), 'I1 - Universal Data'!$E$14:$V$14, 0)))</f>
        <v>-</v>
      </c>
      <c r="G229" s="1160">
        <f t="shared" si="21"/>
        <v>104.7</v>
      </c>
      <c r="H229" s="1160">
        <f t="shared" si="21"/>
        <v>275.8</v>
      </c>
      <c r="U229" s="1148"/>
    </row>
    <row r="230" spans="1:21">
      <c r="A230" s="1157">
        <f t="shared" si="20"/>
        <v>43100</v>
      </c>
      <c r="B230" s="1158">
        <f t="shared" si="18"/>
        <v>2018</v>
      </c>
      <c r="C230" s="1326">
        <v>105</v>
      </c>
      <c r="D230" s="1326">
        <v>278.10000000000002</v>
      </c>
      <c r="E230" s="1159" t="str">
        <f>IF($A230&lt;DATE(2018,7,1),"-",INDEX('I1 - Universal Data'!$E$16:$V$16, MATCH(YEAR(EOMONTH($A230,6)), 'I1 - Universal Data'!$E$14:$V$14, 0)))</f>
        <v>-</v>
      </c>
      <c r="F230" s="1159" t="str">
        <f>IF($A230&lt;DATE(2018,7,1),"-",INDEX('I1 - Universal Data'!$E$15:$V$15, MATCH(YEAR(EOMONTH($A230,6)), 'I1 - Universal Data'!$E$14:$V$14, 0)))</f>
        <v>-</v>
      </c>
      <c r="G230" s="1160">
        <f t="shared" ref="G230:H245" si="22">IF(ISBLANK(C230),G229*((1+E230)^(1/12)),C230)</f>
        <v>105</v>
      </c>
      <c r="H230" s="1160">
        <f t="shared" si="22"/>
        <v>278.10000000000002</v>
      </c>
      <c r="U230" s="1148"/>
    </row>
    <row r="231" spans="1:21">
      <c r="A231" s="1157">
        <f t="shared" si="20"/>
        <v>43131</v>
      </c>
      <c r="B231" s="1158">
        <f t="shared" si="18"/>
        <v>2018</v>
      </c>
      <c r="C231" s="1326">
        <v>104.5</v>
      </c>
      <c r="D231" s="1326">
        <v>276</v>
      </c>
      <c r="E231" s="1159" t="str">
        <f>IF($A231&lt;DATE(2018,7,1),"-",INDEX('I1 - Universal Data'!$E$16:$V$16, MATCH(YEAR(EOMONTH($A231,6)), 'I1 - Universal Data'!$E$14:$V$14, 0)))</f>
        <v>-</v>
      </c>
      <c r="F231" s="1159" t="str">
        <f>IF($A231&lt;DATE(2018,7,1),"-",INDEX('I1 - Universal Data'!$E$15:$V$15, MATCH(YEAR(EOMONTH($A231,6)), 'I1 - Universal Data'!$E$14:$V$14, 0)))</f>
        <v>-</v>
      </c>
      <c r="G231" s="1160">
        <f t="shared" si="22"/>
        <v>104.5</v>
      </c>
      <c r="H231" s="1160">
        <f t="shared" si="22"/>
        <v>276</v>
      </c>
      <c r="U231" s="1148"/>
    </row>
    <row r="232" spans="1:21">
      <c r="A232" s="1157">
        <f t="shared" si="20"/>
        <v>43159</v>
      </c>
      <c r="B232" s="1158">
        <f t="shared" si="18"/>
        <v>2018</v>
      </c>
      <c r="C232" s="1326">
        <v>104.9</v>
      </c>
      <c r="D232" s="1326">
        <v>278.10000000000002</v>
      </c>
      <c r="E232" s="1159" t="str">
        <f>IF($A232&lt;DATE(2018,7,1),"-",INDEX('I1 - Universal Data'!$E$16:$V$16, MATCH(YEAR(EOMONTH($A232,6)), 'I1 - Universal Data'!$E$14:$V$14, 0)))</f>
        <v>-</v>
      </c>
      <c r="F232" s="1159" t="str">
        <f>IF($A232&lt;DATE(2018,7,1),"-",INDEX('I1 - Universal Data'!$E$15:$V$15, MATCH(YEAR(EOMONTH($A232,6)), 'I1 - Universal Data'!$E$14:$V$14, 0)))</f>
        <v>-</v>
      </c>
      <c r="G232" s="1160">
        <f t="shared" si="22"/>
        <v>104.9</v>
      </c>
      <c r="H232" s="1160">
        <f t="shared" si="22"/>
        <v>278.10000000000002</v>
      </c>
      <c r="U232" s="1148"/>
    </row>
    <row r="233" spans="1:21">
      <c r="A233" s="1157">
        <f t="shared" si="20"/>
        <v>43190</v>
      </c>
      <c r="B233" s="1158">
        <f t="shared" si="18"/>
        <v>2018</v>
      </c>
      <c r="C233" s="1326">
        <v>105.1</v>
      </c>
      <c r="D233" s="1326">
        <v>278.3</v>
      </c>
      <c r="E233" s="1159" t="str">
        <f>IF($A233&lt;DATE(2018,7,1),"-",INDEX('I1 - Universal Data'!$E$16:$V$16, MATCH(YEAR(EOMONTH($A233,6)), 'I1 - Universal Data'!$E$14:$V$14, 0)))</f>
        <v>-</v>
      </c>
      <c r="F233" s="1159" t="str">
        <f>IF($A233&lt;DATE(2018,7,1),"-",INDEX('I1 - Universal Data'!$E$15:$V$15, MATCH(YEAR(EOMONTH($A233,6)), 'I1 - Universal Data'!$E$14:$V$14, 0)))</f>
        <v>-</v>
      </c>
      <c r="G233" s="1160">
        <f t="shared" si="22"/>
        <v>105.1</v>
      </c>
      <c r="H233" s="1160">
        <f t="shared" si="22"/>
        <v>278.3</v>
      </c>
      <c r="U233" s="1148"/>
    </row>
    <row r="234" spans="1:21">
      <c r="A234" s="1157">
        <f t="shared" si="20"/>
        <v>43220</v>
      </c>
      <c r="B234" s="1158">
        <f t="shared" si="18"/>
        <v>2019</v>
      </c>
      <c r="C234" s="1326">
        <v>105.5</v>
      </c>
      <c r="D234" s="1326">
        <v>279.7</v>
      </c>
      <c r="E234" s="1159" t="str">
        <f>IF($A234&lt;DATE(2018,7,1),"-",INDEX('I1 - Universal Data'!$E$16:$V$16, MATCH(YEAR(EOMONTH($A234,6)), 'I1 - Universal Data'!$E$14:$V$14, 0)))</f>
        <v>-</v>
      </c>
      <c r="F234" s="1159" t="str">
        <f>IF($A234&lt;DATE(2018,7,1),"-",INDEX('I1 - Universal Data'!$E$15:$V$15, MATCH(YEAR(EOMONTH($A234,6)), 'I1 - Universal Data'!$E$14:$V$14, 0)))</f>
        <v>-</v>
      </c>
      <c r="G234" s="1160">
        <f t="shared" si="22"/>
        <v>105.5</v>
      </c>
      <c r="H234" s="1160">
        <f t="shared" si="22"/>
        <v>279.7</v>
      </c>
      <c r="U234" s="1148"/>
    </row>
    <row r="235" spans="1:21">
      <c r="A235" s="1157">
        <f t="shared" si="20"/>
        <v>43251</v>
      </c>
      <c r="B235" s="1158">
        <f t="shared" si="18"/>
        <v>2019</v>
      </c>
      <c r="C235" s="1326">
        <v>105.9</v>
      </c>
      <c r="D235" s="1326">
        <v>280.7</v>
      </c>
      <c r="E235" s="1159" t="str">
        <f>IF($A235&lt;DATE(2018,7,1),"-",INDEX('I1 - Universal Data'!$E$16:$V$16, MATCH(YEAR(EOMONTH($A235,6)), 'I1 - Universal Data'!$E$14:$V$14, 0)))</f>
        <v>-</v>
      </c>
      <c r="F235" s="1159" t="str">
        <f>IF($A235&lt;DATE(2018,7,1),"-",INDEX('I1 - Universal Data'!$E$15:$V$15, MATCH(YEAR(EOMONTH($A235,6)), 'I1 - Universal Data'!$E$14:$V$14, 0)))</f>
        <v>-</v>
      </c>
      <c r="G235" s="1160">
        <f t="shared" si="22"/>
        <v>105.9</v>
      </c>
      <c r="H235" s="1160">
        <f t="shared" si="22"/>
        <v>280.7</v>
      </c>
      <c r="U235" s="1148"/>
    </row>
    <row r="236" spans="1:21">
      <c r="A236" s="1157">
        <f t="shared" si="20"/>
        <v>43281</v>
      </c>
      <c r="B236" s="1158">
        <f t="shared" si="18"/>
        <v>2019</v>
      </c>
      <c r="C236" s="1326">
        <v>105.9</v>
      </c>
      <c r="D236" s="1326">
        <v>281.5</v>
      </c>
      <c r="E236" s="1159" t="str">
        <f>IF($A236&lt;DATE(2018,7,1),"-",INDEX('I1 - Universal Data'!$E$16:$V$16, MATCH(YEAR(EOMONTH($A236,6)), 'I1 - Universal Data'!$E$14:$V$14, 0)))</f>
        <v>-</v>
      </c>
      <c r="F236" s="1159" t="str">
        <f>IF($A236&lt;DATE(2018,7,1),"-",INDEX('I1 - Universal Data'!$E$15:$V$15, MATCH(YEAR(EOMONTH($A236,6)), 'I1 - Universal Data'!$E$14:$V$14, 0)))</f>
        <v>-</v>
      </c>
      <c r="G236" s="1160">
        <f t="shared" si="22"/>
        <v>105.9</v>
      </c>
      <c r="H236" s="1160">
        <f t="shared" si="22"/>
        <v>281.5</v>
      </c>
      <c r="U236" s="1148"/>
    </row>
    <row r="237" spans="1:21">
      <c r="A237" s="1157">
        <f t="shared" si="20"/>
        <v>43312</v>
      </c>
      <c r="B237" s="1158">
        <f t="shared" si="18"/>
        <v>2019</v>
      </c>
      <c r="C237" s="1326">
        <v>105.9</v>
      </c>
      <c r="D237" s="1326">
        <v>281.7</v>
      </c>
      <c r="E237" s="1159">
        <f>IF($A237&lt;DATE(2018,7,1),"-",INDEX('I1 - Universal Data'!$E$16:$V$16, MATCH(YEAR(EOMONTH($A237,6)), 'I1 - Universal Data'!$E$14:$V$14, 0)))</f>
        <v>1.7910205867057716E-2</v>
      </c>
      <c r="F237" s="1159">
        <f>IF($A237&lt;DATE(2018,7,1),"-",INDEX('I1 - Universal Data'!$E$15:$V$15, MATCH(YEAR(EOMONTH($A237,6)), 'I1 - Universal Data'!$E$14:$V$14, 0)))</f>
        <v>2.5628884588821732E-2</v>
      </c>
      <c r="G237" s="1160">
        <f t="shared" si="22"/>
        <v>105.9</v>
      </c>
      <c r="H237" s="1160">
        <f t="shared" si="22"/>
        <v>281.7</v>
      </c>
      <c r="U237" s="1148"/>
    </row>
    <row r="238" spans="1:21">
      <c r="A238" s="1157">
        <f t="shared" si="20"/>
        <v>43343</v>
      </c>
      <c r="B238" s="1158">
        <f t="shared" si="18"/>
        <v>2019</v>
      </c>
      <c r="C238" s="1326">
        <v>106.5</v>
      </c>
      <c r="D238" s="1326">
        <v>284.2</v>
      </c>
      <c r="E238" s="1159">
        <f>IF($A238&lt;DATE(2018,7,1),"-",INDEX('I1 - Universal Data'!$E$16:$V$16, MATCH(YEAR(EOMONTH($A238,6)), 'I1 - Universal Data'!$E$14:$V$14, 0)))</f>
        <v>1.7910205867057716E-2</v>
      </c>
      <c r="F238" s="1159">
        <f>IF($A238&lt;DATE(2018,7,1),"-",INDEX('I1 - Universal Data'!$E$15:$V$15, MATCH(YEAR(EOMONTH($A238,6)), 'I1 - Universal Data'!$E$14:$V$14, 0)))</f>
        <v>2.5628884588821732E-2</v>
      </c>
      <c r="G238" s="1160">
        <f t="shared" si="22"/>
        <v>106.5</v>
      </c>
      <c r="H238" s="1160">
        <f t="shared" si="22"/>
        <v>284.2</v>
      </c>
      <c r="U238" s="1148"/>
    </row>
    <row r="239" spans="1:21">
      <c r="A239" s="1157">
        <f t="shared" si="20"/>
        <v>43373</v>
      </c>
      <c r="B239" s="1158">
        <f t="shared" si="18"/>
        <v>2019</v>
      </c>
      <c r="C239" s="1326">
        <v>106.6</v>
      </c>
      <c r="D239" s="1326">
        <v>284.10000000000002</v>
      </c>
      <c r="E239" s="1159">
        <f>IF($A239&lt;DATE(2018,7,1),"-",INDEX('I1 - Universal Data'!$E$16:$V$16, MATCH(YEAR(EOMONTH($A239,6)), 'I1 - Universal Data'!$E$14:$V$14, 0)))</f>
        <v>1.7910205867057716E-2</v>
      </c>
      <c r="F239" s="1159">
        <f>IF($A239&lt;DATE(2018,7,1),"-",INDEX('I1 - Universal Data'!$E$15:$V$15, MATCH(YEAR(EOMONTH($A239,6)), 'I1 - Universal Data'!$E$14:$V$14, 0)))</f>
        <v>2.5628884588821732E-2</v>
      </c>
      <c r="G239" s="1160">
        <f t="shared" si="22"/>
        <v>106.6</v>
      </c>
      <c r="H239" s="1160">
        <f t="shared" si="22"/>
        <v>284.10000000000002</v>
      </c>
      <c r="U239" s="1148"/>
    </row>
    <row r="240" spans="1:21">
      <c r="A240" s="1157">
        <f t="shared" si="20"/>
        <v>43404</v>
      </c>
      <c r="B240" s="1158">
        <f t="shared" si="18"/>
        <v>2019</v>
      </c>
      <c r="C240" s="1326">
        <v>106.7</v>
      </c>
      <c r="D240" s="1326">
        <v>284.5</v>
      </c>
      <c r="E240" s="1159">
        <f>IF($A240&lt;DATE(2018,7,1),"-",INDEX('I1 - Universal Data'!$E$16:$V$16, MATCH(YEAR(EOMONTH($A240,6)), 'I1 - Universal Data'!$E$14:$V$14, 0)))</f>
        <v>1.7910205867057716E-2</v>
      </c>
      <c r="F240" s="1159">
        <f>IF($A240&lt;DATE(2018,7,1),"-",INDEX('I1 - Universal Data'!$E$15:$V$15, MATCH(YEAR(EOMONTH($A240,6)), 'I1 - Universal Data'!$E$14:$V$14, 0)))</f>
        <v>2.5628884588821732E-2</v>
      </c>
      <c r="G240" s="1160">
        <f t="shared" si="22"/>
        <v>106.7</v>
      </c>
      <c r="H240" s="1160">
        <f t="shared" si="22"/>
        <v>284.5</v>
      </c>
      <c r="U240" s="1148"/>
    </row>
    <row r="241" spans="1:21">
      <c r="A241" s="1157">
        <f t="shared" si="20"/>
        <v>43434</v>
      </c>
      <c r="B241" s="1158">
        <f t="shared" si="18"/>
        <v>2019</v>
      </c>
      <c r="C241" s="1326">
        <v>106.9</v>
      </c>
      <c r="D241" s="1326">
        <v>284.60000000000002</v>
      </c>
      <c r="E241" s="1159">
        <f>IF($A241&lt;DATE(2018,7,1),"-",INDEX('I1 - Universal Data'!$E$16:$V$16, MATCH(YEAR(EOMONTH($A241,6)), 'I1 - Universal Data'!$E$14:$V$14, 0)))</f>
        <v>1.7910205867057716E-2</v>
      </c>
      <c r="F241" s="1159">
        <f>IF($A241&lt;DATE(2018,7,1),"-",INDEX('I1 - Universal Data'!$E$15:$V$15, MATCH(YEAR(EOMONTH($A241,6)), 'I1 - Universal Data'!$E$14:$V$14, 0)))</f>
        <v>2.5628884588821732E-2</v>
      </c>
      <c r="G241" s="1160">
        <f t="shared" si="22"/>
        <v>106.9</v>
      </c>
      <c r="H241" s="1160">
        <f t="shared" si="22"/>
        <v>284.60000000000002</v>
      </c>
      <c r="U241" s="1148"/>
    </row>
    <row r="242" spans="1:21">
      <c r="A242" s="1157">
        <f t="shared" si="20"/>
        <v>43465</v>
      </c>
      <c r="B242" s="1158">
        <f t="shared" si="18"/>
        <v>2019</v>
      </c>
      <c r="C242" s="1326">
        <v>107.1</v>
      </c>
      <c r="D242" s="1326">
        <v>285.60000000000002</v>
      </c>
      <c r="E242" s="1159">
        <f>IF($A242&lt;DATE(2018,7,1),"-",INDEX('I1 - Universal Data'!$E$16:$V$16, MATCH(YEAR(EOMONTH($A242,6)), 'I1 - Universal Data'!$E$14:$V$14, 0)))</f>
        <v>1.7910205867057716E-2</v>
      </c>
      <c r="F242" s="1159">
        <f>IF($A242&lt;DATE(2018,7,1),"-",INDEX('I1 - Universal Data'!$E$15:$V$15, MATCH(YEAR(EOMONTH($A242,6)), 'I1 - Universal Data'!$E$14:$V$14, 0)))</f>
        <v>2.5628884588821732E-2</v>
      </c>
      <c r="G242" s="1160">
        <f t="shared" si="22"/>
        <v>107.1</v>
      </c>
      <c r="H242" s="1160">
        <f t="shared" si="22"/>
        <v>285.60000000000002</v>
      </c>
      <c r="U242" s="1148"/>
    </row>
    <row r="243" spans="1:21">
      <c r="A243" s="1157">
        <f t="shared" si="20"/>
        <v>43496</v>
      </c>
      <c r="B243" s="1158">
        <f t="shared" si="18"/>
        <v>2019</v>
      </c>
      <c r="C243" s="1326">
        <v>106.4</v>
      </c>
      <c r="D243" s="1326">
        <v>283</v>
      </c>
      <c r="E243" s="1159">
        <f>IF($A243&lt;DATE(2018,7,1),"-",INDEX('I1 - Universal Data'!$E$16:$V$16, MATCH(YEAR(EOMONTH($A243,6)), 'I1 - Universal Data'!$E$14:$V$14, 0)))</f>
        <v>1.7910205867057716E-2</v>
      </c>
      <c r="F243" s="1159">
        <f>IF($A243&lt;DATE(2018,7,1),"-",INDEX('I1 - Universal Data'!$E$15:$V$15, MATCH(YEAR(EOMONTH($A243,6)), 'I1 - Universal Data'!$E$14:$V$14, 0)))</f>
        <v>2.5628884588821732E-2</v>
      </c>
      <c r="G243" s="1160">
        <f t="shared" si="22"/>
        <v>106.4</v>
      </c>
      <c r="H243" s="1160">
        <f t="shared" si="22"/>
        <v>283</v>
      </c>
      <c r="U243" s="1148"/>
    </row>
    <row r="244" spans="1:21">
      <c r="A244" s="1157">
        <f t="shared" si="20"/>
        <v>43524</v>
      </c>
      <c r="B244" s="1158">
        <f t="shared" si="18"/>
        <v>2019</v>
      </c>
      <c r="C244" s="1326">
        <v>106.8</v>
      </c>
      <c r="D244" s="1326">
        <v>285</v>
      </c>
      <c r="E244" s="1159">
        <f>IF($A244&lt;DATE(2018,7,1),"-",INDEX('I1 - Universal Data'!$E$16:$V$16, MATCH(YEAR(EOMONTH($A244,6)), 'I1 - Universal Data'!$E$14:$V$14, 0)))</f>
        <v>1.7910205867057716E-2</v>
      </c>
      <c r="F244" s="1159">
        <f>IF($A244&lt;DATE(2018,7,1),"-",INDEX('I1 - Universal Data'!$E$15:$V$15, MATCH(YEAR(EOMONTH($A244,6)), 'I1 - Universal Data'!$E$14:$V$14, 0)))</f>
        <v>2.5628884588821732E-2</v>
      </c>
      <c r="G244" s="1160">
        <f t="shared" si="22"/>
        <v>106.8</v>
      </c>
      <c r="H244" s="1160">
        <f t="shared" si="22"/>
        <v>285</v>
      </c>
      <c r="U244" s="1148"/>
    </row>
    <row r="245" spans="1:21">
      <c r="A245" s="1157">
        <f t="shared" si="20"/>
        <v>43555</v>
      </c>
      <c r="B245" s="1158">
        <f t="shared" si="18"/>
        <v>2019</v>
      </c>
      <c r="C245" s="1326">
        <v>107</v>
      </c>
      <c r="D245" s="1326">
        <v>285.10000000000002</v>
      </c>
      <c r="E245" s="1159">
        <f>IF($A245&lt;DATE(2018,7,1),"-",INDEX('I1 - Universal Data'!$E$16:$V$16, MATCH(YEAR(EOMONTH($A245,6)), 'I1 - Universal Data'!$E$14:$V$14, 0)))</f>
        <v>1.7910205867057716E-2</v>
      </c>
      <c r="F245" s="1159">
        <f>IF($A245&lt;DATE(2018,7,1),"-",INDEX('I1 - Universal Data'!$E$15:$V$15, MATCH(YEAR(EOMONTH($A245,6)), 'I1 - Universal Data'!$E$14:$V$14, 0)))</f>
        <v>2.5628884588821732E-2</v>
      </c>
      <c r="G245" s="1160">
        <f t="shared" si="22"/>
        <v>107</v>
      </c>
      <c r="H245" s="1160">
        <f t="shared" si="22"/>
        <v>285.10000000000002</v>
      </c>
      <c r="U245" s="1148"/>
    </row>
    <row r="246" spans="1:21">
      <c r="A246" s="1157">
        <f t="shared" si="20"/>
        <v>43585</v>
      </c>
      <c r="B246" s="1158">
        <f t="shared" si="18"/>
        <v>2020</v>
      </c>
      <c r="C246" s="1326">
        <v>107.6</v>
      </c>
      <c r="D246" s="1326">
        <v>288.2</v>
      </c>
      <c r="E246" s="1159">
        <f>IF($A246&lt;DATE(2018,7,1),"-",INDEX('I1 - Universal Data'!$E$16:$V$16, MATCH(YEAR(EOMONTH($A246,6)), 'I1 - Universal Data'!$E$14:$V$14, 0)))</f>
        <v>1.7910205867057716E-2</v>
      </c>
      <c r="F246" s="1159">
        <f>IF($A246&lt;DATE(2018,7,1),"-",INDEX('I1 - Universal Data'!$E$15:$V$15, MATCH(YEAR(EOMONTH($A246,6)), 'I1 - Universal Data'!$E$14:$V$14, 0)))</f>
        <v>2.5628884588821732E-2</v>
      </c>
      <c r="G246" s="1160">
        <f t="shared" ref="G246:H261" si="23">IF(ISBLANK(C246),G245*((1+E246)^(1/12)),C246)</f>
        <v>107.6</v>
      </c>
      <c r="H246" s="1160">
        <f t="shared" si="23"/>
        <v>288.2</v>
      </c>
      <c r="T246" s="1149"/>
      <c r="U246" s="1148"/>
    </row>
    <row r="247" spans="1:21">
      <c r="A247" s="1157">
        <f t="shared" si="20"/>
        <v>43616</v>
      </c>
      <c r="B247" s="1158">
        <f t="shared" si="18"/>
        <v>2020</v>
      </c>
      <c r="C247" s="1326">
        <v>107.9</v>
      </c>
      <c r="D247" s="1326">
        <v>289.2</v>
      </c>
      <c r="E247" s="1159">
        <f>IF($A247&lt;DATE(2018,7,1),"-",INDEX('I1 - Universal Data'!$E$16:$V$16, MATCH(YEAR(EOMONTH($A247,6)), 'I1 - Universal Data'!$E$14:$V$14, 0)))</f>
        <v>1.7910205867057716E-2</v>
      </c>
      <c r="F247" s="1159">
        <f>IF($A247&lt;DATE(2018,7,1),"-",INDEX('I1 - Universal Data'!$E$15:$V$15, MATCH(YEAR(EOMONTH($A247,6)), 'I1 - Universal Data'!$E$14:$V$14, 0)))</f>
        <v>2.5628884588821732E-2</v>
      </c>
      <c r="G247" s="1160">
        <f t="shared" si="23"/>
        <v>107.9</v>
      </c>
      <c r="H247" s="1160">
        <f t="shared" si="23"/>
        <v>289.2</v>
      </c>
      <c r="T247" s="1149"/>
      <c r="U247" s="1148"/>
    </row>
    <row r="248" spans="1:21">
      <c r="A248" s="1157">
        <f t="shared" si="20"/>
        <v>43646</v>
      </c>
      <c r="B248" s="1158">
        <f t="shared" si="18"/>
        <v>2020</v>
      </c>
      <c r="C248" s="1326">
        <v>107.9</v>
      </c>
      <c r="D248" s="1326">
        <v>289.60000000000002</v>
      </c>
      <c r="E248" s="1159">
        <f>IF($A248&lt;DATE(2018,7,1),"-",INDEX('I1 - Universal Data'!$E$16:$V$16, MATCH(YEAR(EOMONTH($A248,6)), 'I1 - Universal Data'!$E$14:$V$14, 0)))</f>
        <v>1.7910205867057716E-2</v>
      </c>
      <c r="F248" s="1159">
        <f>IF($A248&lt;DATE(2018,7,1),"-",INDEX('I1 - Universal Data'!$E$15:$V$15, MATCH(YEAR(EOMONTH($A248,6)), 'I1 - Universal Data'!$E$14:$V$14, 0)))</f>
        <v>2.5628884588821732E-2</v>
      </c>
      <c r="G248" s="1160">
        <f t="shared" si="23"/>
        <v>107.9</v>
      </c>
      <c r="H248" s="1160">
        <f t="shared" si="23"/>
        <v>289.60000000000002</v>
      </c>
      <c r="T248" s="1149"/>
      <c r="U248" s="1148"/>
    </row>
    <row r="249" spans="1:21">
      <c r="A249" s="1157">
        <f t="shared" si="20"/>
        <v>43677</v>
      </c>
      <c r="B249" s="1158">
        <f t="shared" si="18"/>
        <v>2020</v>
      </c>
      <c r="C249" s="1326">
        <v>108</v>
      </c>
      <c r="D249" s="1326">
        <v>289.5</v>
      </c>
      <c r="E249" s="1159">
        <f>IF($A249&lt;DATE(2018,7,1),"-",INDEX('I1 - Universal Data'!$E$16:$V$16, MATCH(YEAR(EOMONTH($A249,6)), 'I1 - Universal Data'!$E$14:$V$14, 0)))</f>
        <v>8.5065402820156955E-3</v>
      </c>
      <c r="F249" s="1159">
        <f>IF($A249&lt;DATE(2018,7,1),"-",INDEX('I1 - Universal Data'!$E$15:$V$15, MATCH(YEAR(EOMONTH($A249,6)), 'I1 - Universal Data'!$E$14:$V$14, 0)))</f>
        <v>1.5033471260387898E-2</v>
      </c>
      <c r="G249" s="1160">
        <f t="shared" si="23"/>
        <v>108</v>
      </c>
      <c r="H249" s="1160">
        <f t="shared" si="23"/>
        <v>289.5</v>
      </c>
      <c r="T249" s="1149"/>
      <c r="U249" s="1148"/>
    </row>
    <row r="250" spans="1:21">
      <c r="A250" s="1157">
        <f t="shared" si="20"/>
        <v>43708</v>
      </c>
      <c r="B250" s="1158">
        <f t="shared" si="18"/>
        <v>2020</v>
      </c>
      <c r="C250" s="1326">
        <v>108.3</v>
      </c>
      <c r="D250" s="1326">
        <v>291.7</v>
      </c>
      <c r="E250" s="1159">
        <f>IF($A250&lt;DATE(2018,7,1),"-",INDEX('I1 - Universal Data'!$E$16:$V$16, MATCH(YEAR(EOMONTH($A250,6)), 'I1 - Universal Data'!$E$14:$V$14, 0)))</f>
        <v>8.5065402820156955E-3</v>
      </c>
      <c r="F250" s="1159">
        <f>IF($A250&lt;DATE(2018,7,1),"-",INDEX('I1 - Universal Data'!$E$15:$V$15, MATCH(YEAR(EOMONTH($A250,6)), 'I1 - Universal Data'!$E$14:$V$14, 0)))</f>
        <v>1.5033471260387898E-2</v>
      </c>
      <c r="G250" s="1160">
        <f t="shared" si="23"/>
        <v>108.3</v>
      </c>
      <c r="H250" s="1160">
        <f t="shared" si="23"/>
        <v>291.7</v>
      </c>
      <c r="T250" s="1149"/>
      <c r="U250" s="1148"/>
    </row>
    <row r="251" spans="1:21">
      <c r="A251" s="1157">
        <f t="shared" si="20"/>
        <v>43738</v>
      </c>
      <c r="B251" s="1158">
        <f t="shared" si="18"/>
        <v>2020</v>
      </c>
      <c r="C251" s="1326">
        <v>108.4</v>
      </c>
      <c r="D251" s="1326">
        <v>291</v>
      </c>
      <c r="E251" s="1159">
        <f>IF($A251&lt;DATE(2018,7,1),"-",INDEX('I1 - Universal Data'!$E$16:$V$16, MATCH(YEAR(EOMONTH($A251,6)), 'I1 - Universal Data'!$E$14:$V$14, 0)))</f>
        <v>8.5065402820156955E-3</v>
      </c>
      <c r="F251" s="1159">
        <f>IF($A251&lt;DATE(2018,7,1),"-",INDEX('I1 - Universal Data'!$E$15:$V$15, MATCH(YEAR(EOMONTH($A251,6)), 'I1 - Universal Data'!$E$14:$V$14, 0)))</f>
        <v>1.5033471260387898E-2</v>
      </c>
      <c r="G251" s="1160">
        <f t="shared" si="23"/>
        <v>108.4</v>
      </c>
      <c r="H251" s="1160">
        <f t="shared" si="23"/>
        <v>291</v>
      </c>
      <c r="T251" s="1149"/>
      <c r="U251" s="1148"/>
    </row>
    <row r="252" spans="1:21">
      <c r="A252" s="1157">
        <f t="shared" si="20"/>
        <v>43769</v>
      </c>
      <c r="B252" s="1158">
        <f t="shared" si="18"/>
        <v>2020</v>
      </c>
      <c r="C252" s="1326">
        <v>108.3</v>
      </c>
      <c r="D252" s="1326">
        <v>290.39999999999998</v>
      </c>
      <c r="E252" s="1159">
        <f>IF($A252&lt;DATE(2018,7,1),"-",INDEX('I1 - Universal Data'!$E$16:$V$16, MATCH(YEAR(EOMONTH($A252,6)), 'I1 - Universal Data'!$E$14:$V$14, 0)))</f>
        <v>8.5065402820156955E-3</v>
      </c>
      <c r="F252" s="1159">
        <f>IF($A252&lt;DATE(2018,7,1),"-",INDEX('I1 - Universal Data'!$E$15:$V$15, MATCH(YEAR(EOMONTH($A252,6)), 'I1 - Universal Data'!$E$14:$V$14, 0)))</f>
        <v>1.5033471260387898E-2</v>
      </c>
      <c r="G252" s="1160">
        <f t="shared" si="23"/>
        <v>108.3</v>
      </c>
      <c r="H252" s="1160">
        <f t="shared" si="23"/>
        <v>290.39999999999998</v>
      </c>
      <c r="T252" s="1149"/>
      <c r="U252" s="1148"/>
    </row>
    <row r="253" spans="1:21">
      <c r="A253" s="1157">
        <f t="shared" si="20"/>
        <v>43799</v>
      </c>
      <c r="B253" s="1158">
        <f t="shared" si="18"/>
        <v>2020</v>
      </c>
      <c r="C253" s="1326">
        <v>108.5</v>
      </c>
      <c r="D253" s="1326">
        <v>291</v>
      </c>
      <c r="E253" s="1159">
        <f>IF($A253&lt;DATE(2018,7,1),"-",INDEX('I1 - Universal Data'!$E$16:$V$16, MATCH(YEAR(EOMONTH($A253,6)), 'I1 - Universal Data'!$E$14:$V$14, 0)))</f>
        <v>8.5065402820156955E-3</v>
      </c>
      <c r="F253" s="1159">
        <f>IF($A253&lt;DATE(2018,7,1),"-",INDEX('I1 - Universal Data'!$E$15:$V$15, MATCH(YEAR(EOMONTH($A253,6)), 'I1 - Universal Data'!$E$14:$V$14, 0)))</f>
        <v>1.5033471260387898E-2</v>
      </c>
      <c r="G253" s="1160">
        <f t="shared" si="23"/>
        <v>108.5</v>
      </c>
      <c r="H253" s="1160">
        <f t="shared" si="23"/>
        <v>291</v>
      </c>
      <c r="T253" s="1149"/>
      <c r="U253" s="1148"/>
    </row>
    <row r="254" spans="1:21">
      <c r="A254" s="1157">
        <f t="shared" si="20"/>
        <v>43830</v>
      </c>
      <c r="B254" s="1158">
        <f t="shared" si="18"/>
        <v>2020</v>
      </c>
      <c r="C254" s="1326">
        <v>108.5</v>
      </c>
      <c r="D254" s="1326">
        <v>291.89999999999998</v>
      </c>
      <c r="E254" s="1159">
        <f>IF($A254&lt;DATE(2018,7,1),"-",INDEX('I1 - Universal Data'!$E$16:$V$16, MATCH(YEAR(EOMONTH($A254,6)), 'I1 - Universal Data'!$E$14:$V$14, 0)))</f>
        <v>8.5065402820156955E-3</v>
      </c>
      <c r="F254" s="1159">
        <f>IF($A254&lt;DATE(2018,7,1),"-",INDEX('I1 - Universal Data'!$E$15:$V$15, MATCH(YEAR(EOMONTH($A254,6)), 'I1 - Universal Data'!$E$14:$V$14, 0)))</f>
        <v>1.5033471260387898E-2</v>
      </c>
      <c r="G254" s="1160">
        <f t="shared" si="23"/>
        <v>108.5</v>
      </c>
      <c r="H254" s="1160">
        <f t="shared" si="23"/>
        <v>291.89999999999998</v>
      </c>
      <c r="T254" s="1149"/>
      <c r="U254" s="1148"/>
    </row>
    <row r="255" spans="1:21">
      <c r="A255" s="1157">
        <f t="shared" si="20"/>
        <v>43861</v>
      </c>
      <c r="B255" s="1158">
        <f t="shared" si="18"/>
        <v>2020</v>
      </c>
      <c r="C255" s="1326">
        <v>108.3</v>
      </c>
      <c r="D255" s="1326">
        <v>290.60000000000002</v>
      </c>
      <c r="E255" s="1159">
        <f>IF($A255&lt;DATE(2018,7,1),"-",INDEX('I1 - Universal Data'!$E$16:$V$16, MATCH(YEAR(EOMONTH($A255,6)), 'I1 - Universal Data'!$E$14:$V$14, 0)))</f>
        <v>8.5065402820156955E-3</v>
      </c>
      <c r="F255" s="1159">
        <f>IF($A255&lt;DATE(2018,7,1),"-",INDEX('I1 - Universal Data'!$E$15:$V$15, MATCH(YEAR(EOMONTH($A255,6)), 'I1 - Universal Data'!$E$14:$V$14, 0)))</f>
        <v>1.5033471260387898E-2</v>
      </c>
      <c r="G255" s="1160">
        <f t="shared" si="23"/>
        <v>108.3</v>
      </c>
      <c r="H255" s="1160">
        <f t="shared" si="23"/>
        <v>290.60000000000002</v>
      </c>
      <c r="T255" s="1149"/>
      <c r="U255" s="1148"/>
    </row>
    <row r="256" spans="1:21">
      <c r="A256" s="1157">
        <f t="shared" si="20"/>
        <v>43890</v>
      </c>
      <c r="B256" s="1158">
        <f t="shared" si="18"/>
        <v>2020</v>
      </c>
      <c r="C256" s="1326">
        <v>108.6</v>
      </c>
      <c r="D256" s="1326">
        <v>292</v>
      </c>
      <c r="E256" s="1159">
        <f>IF($A256&lt;DATE(2018,7,1),"-",INDEX('I1 - Universal Data'!$E$16:$V$16, MATCH(YEAR(EOMONTH($A256,6)), 'I1 - Universal Data'!$E$14:$V$14, 0)))</f>
        <v>8.5065402820156955E-3</v>
      </c>
      <c r="F256" s="1159">
        <f>IF($A256&lt;DATE(2018,7,1),"-",INDEX('I1 - Universal Data'!$E$15:$V$15, MATCH(YEAR(EOMONTH($A256,6)), 'I1 - Universal Data'!$E$14:$V$14, 0)))</f>
        <v>1.5033471260387898E-2</v>
      </c>
      <c r="G256" s="1160">
        <f t="shared" si="23"/>
        <v>108.6</v>
      </c>
      <c r="H256" s="1160">
        <f t="shared" si="23"/>
        <v>292</v>
      </c>
      <c r="T256" s="1149"/>
      <c r="U256" s="136"/>
    </row>
    <row r="257" spans="1:21">
      <c r="A257" s="1157">
        <f t="shared" si="20"/>
        <v>43921</v>
      </c>
      <c r="B257" s="1158">
        <f t="shared" si="18"/>
        <v>2020</v>
      </c>
      <c r="C257" s="1326">
        <v>108.6</v>
      </c>
      <c r="D257" s="1326">
        <v>292.60000000000002</v>
      </c>
      <c r="E257" s="1159">
        <f>IF($A257&lt;DATE(2018,7,1),"-",INDEX('I1 - Universal Data'!$E$16:$V$16, MATCH(YEAR(EOMONTH($A257,6)), 'I1 - Universal Data'!$E$14:$V$14, 0)))</f>
        <v>8.5065402820156955E-3</v>
      </c>
      <c r="F257" s="1159">
        <f>IF($A257&lt;DATE(2018,7,1),"-",INDEX('I1 - Universal Data'!$E$15:$V$15, MATCH(YEAR(EOMONTH($A257,6)), 'I1 - Universal Data'!$E$14:$V$14, 0)))</f>
        <v>1.5033471260387898E-2</v>
      </c>
      <c r="G257" s="1160">
        <f t="shared" si="23"/>
        <v>108.6</v>
      </c>
      <c r="H257" s="1160">
        <f t="shared" si="23"/>
        <v>292.60000000000002</v>
      </c>
      <c r="T257" s="1149"/>
      <c r="U257" s="136"/>
    </row>
    <row r="258" spans="1:21">
      <c r="A258" s="1157">
        <f t="shared" si="20"/>
        <v>43951</v>
      </c>
      <c r="B258" s="1158">
        <f t="shared" si="18"/>
        <v>2021</v>
      </c>
      <c r="C258" s="1326">
        <v>108.6</v>
      </c>
      <c r="D258" s="1326">
        <v>292.60000000000002</v>
      </c>
      <c r="E258" s="1159">
        <f>IF($A258&lt;DATE(2018,7,1),"-",INDEX('I1 - Universal Data'!$E$16:$V$16, MATCH(YEAR(EOMONTH($A258,6)), 'I1 - Universal Data'!$E$14:$V$14, 0)))</f>
        <v>8.5065402820156955E-3</v>
      </c>
      <c r="F258" s="1159">
        <f>IF($A258&lt;DATE(2018,7,1),"-",INDEX('I1 - Universal Data'!$E$15:$V$15, MATCH(YEAR(EOMONTH($A258,6)), 'I1 - Universal Data'!$E$14:$V$14, 0)))</f>
        <v>1.5033471260387898E-2</v>
      </c>
      <c r="G258" s="1160">
        <f t="shared" si="23"/>
        <v>108.6</v>
      </c>
      <c r="H258" s="1160">
        <f t="shared" si="23"/>
        <v>292.60000000000002</v>
      </c>
      <c r="T258" s="1149"/>
      <c r="U258" s="136"/>
    </row>
    <row r="259" spans="1:21">
      <c r="A259" s="1157">
        <f t="shared" si="20"/>
        <v>43982</v>
      </c>
      <c r="B259" s="1158">
        <f t="shared" si="18"/>
        <v>2021</v>
      </c>
      <c r="C259" s="1326">
        <v>108.6</v>
      </c>
      <c r="D259" s="1326">
        <v>292.2</v>
      </c>
      <c r="E259" s="1159">
        <f>IF($A259&lt;DATE(2018,7,1),"-",INDEX('I1 - Universal Data'!$E$16:$V$16, MATCH(YEAR(EOMONTH($A259,6)), 'I1 - Universal Data'!$E$14:$V$14, 0)))</f>
        <v>8.5065402820156955E-3</v>
      </c>
      <c r="F259" s="1159">
        <f>IF($A259&lt;DATE(2018,7,1),"-",INDEX('I1 - Universal Data'!$E$15:$V$15, MATCH(YEAR(EOMONTH($A259,6)), 'I1 - Universal Data'!$E$14:$V$14, 0)))</f>
        <v>1.5033471260387898E-2</v>
      </c>
      <c r="G259" s="1160">
        <f t="shared" si="23"/>
        <v>108.6</v>
      </c>
      <c r="H259" s="1160">
        <f t="shared" si="23"/>
        <v>292.2</v>
      </c>
      <c r="T259" s="1149"/>
      <c r="U259" s="136"/>
    </row>
    <row r="260" spans="1:21">
      <c r="A260" s="1157">
        <f t="shared" si="20"/>
        <v>44012</v>
      </c>
      <c r="B260" s="1158">
        <f t="shared" si="18"/>
        <v>2021</v>
      </c>
      <c r="C260" s="1326">
        <v>108.8</v>
      </c>
      <c r="D260" s="1326">
        <v>292.7</v>
      </c>
      <c r="E260" s="1159">
        <f>IF($A260&lt;DATE(2018,7,1),"-",INDEX('I1 - Universal Data'!$E$16:$V$16, MATCH(YEAR(EOMONTH($A260,6)), 'I1 - Universal Data'!$E$14:$V$14, 0)))</f>
        <v>8.5065402820156955E-3</v>
      </c>
      <c r="F260" s="1159">
        <f>IF($A260&lt;DATE(2018,7,1),"-",INDEX('I1 - Universal Data'!$E$15:$V$15, MATCH(YEAR(EOMONTH($A260,6)), 'I1 - Universal Data'!$E$14:$V$14, 0)))</f>
        <v>1.5033471260387898E-2</v>
      </c>
      <c r="G260" s="1160">
        <f t="shared" si="23"/>
        <v>108.8</v>
      </c>
      <c r="H260" s="1160">
        <f t="shared" si="23"/>
        <v>292.7</v>
      </c>
      <c r="T260" s="1149"/>
      <c r="U260" s="136"/>
    </row>
    <row r="261" spans="1:21">
      <c r="A261" s="1157">
        <f t="shared" si="20"/>
        <v>44043</v>
      </c>
      <c r="B261" s="1158">
        <f t="shared" si="18"/>
        <v>2021</v>
      </c>
      <c r="C261" s="1326">
        <v>109.2</v>
      </c>
      <c r="D261" s="1326">
        <v>294.2</v>
      </c>
      <c r="E261" s="1159">
        <f>IF($A261&lt;DATE(2018,7,1),"-",INDEX('I1 - Universal Data'!$E$16:$V$16, MATCH(YEAR(EOMONTH($A261,6)), 'I1 - Universal Data'!$E$14:$V$14, 0)))</f>
        <v>2.5882219500718229E-2</v>
      </c>
      <c r="F261" s="1159">
        <f>IF($A261&lt;DATE(2018,7,1),"-",INDEX('I1 - Universal Data'!$E$15:$V$15, MATCH(YEAR(EOMONTH($A261,6)), 'I1 - Universal Data'!$E$14:$V$14, 0)))</f>
        <v>4.0452569031158125E-2</v>
      </c>
      <c r="G261" s="1160">
        <f t="shared" si="23"/>
        <v>109.2</v>
      </c>
      <c r="H261" s="1160">
        <f t="shared" si="23"/>
        <v>294.2</v>
      </c>
      <c r="T261" s="1149"/>
      <c r="U261" s="136"/>
    </row>
    <row r="262" spans="1:21">
      <c r="A262" s="1157">
        <f t="shared" si="20"/>
        <v>44074</v>
      </c>
      <c r="B262" s="1158">
        <f t="shared" ref="B262:B325" si="24">IF(MONTH(A262)&gt;=4,YEAR(A262)+1,YEAR(A262))</f>
        <v>2021</v>
      </c>
      <c r="C262" s="1326">
        <v>108.8</v>
      </c>
      <c r="D262" s="1326">
        <v>293.3</v>
      </c>
      <c r="E262" s="1159">
        <f>IF($A262&lt;DATE(2018,7,1),"-",INDEX('I1 - Universal Data'!$E$16:$V$16, MATCH(YEAR(EOMONTH($A262,6)), 'I1 - Universal Data'!$E$14:$V$14, 0)))</f>
        <v>2.5882219500718229E-2</v>
      </c>
      <c r="F262" s="1159">
        <f>IF($A262&lt;DATE(2018,7,1),"-",INDEX('I1 - Universal Data'!$E$15:$V$15, MATCH(YEAR(EOMONTH($A262,6)), 'I1 - Universal Data'!$E$14:$V$14, 0)))</f>
        <v>4.0452569031158125E-2</v>
      </c>
      <c r="G262" s="1160">
        <f t="shared" ref="G262:H277" si="25">IF(ISBLANK(C262),G261*((1+E262)^(1/12)),C262)</f>
        <v>108.8</v>
      </c>
      <c r="H262" s="1160">
        <f t="shared" si="25"/>
        <v>293.3</v>
      </c>
      <c r="T262" s="1149"/>
      <c r="U262" s="136"/>
    </row>
    <row r="263" spans="1:21">
      <c r="A263" s="1157">
        <f t="shared" ref="A263:A326" si="26">IF(MONTH(A262) = 12, EOMONTH(DATE(YEAR(A262) + 1, 1, 1), 0), EOMONTH(DATE(YEAR(A262), MONTH(A262) + 1, 1), 0))</f>
        <v>44104</v>
      </c>
      <c r="B263" s="1158">
        <f t="shared" si="24"/>
        <v>2021</v>
      </c>
      <c r="C263" s="1326">
        <v>109.2</v>
      </c>
      <c r="D263" s="1326">
        <v>294.3</v>
      </c>
      <c r="E263" s="1159">
        <f>IF($A263&lt;DATE(2018,7,1),"-",INDEX('I1 - Universal Data'!$E$16:$V$16, MATCH(YEAR(EOMONTH($A263,6)), 'I1 - Universal Data'!$E$14:$V$14, 0)))</f>
        <v>2.5882219500718229E-2</v>
      </c>
      <c r="F263" s="1159">
        <f>IF($A263&lt;DATE(2018,7,1),"-",INDEX('I1 - Universal Data'!$E$15:$V$15, MATCH(YEAR(EOMONTH($A263,6)), 'I1 - Universal Data'!$E$14:$V$14, 0)))</f>
        <v>4.0452569031158125E-2</v>
      </c>
      <c r="G263" s="1160">
        <f t="shared" si="25"/>
        <v>109.2</v>
      </c>
      <c r="H263" s="1160">
        <f t="shared" si="25"/>
        <v>294.3</v>
      </c>
      <c r="T263" s="1149"/>
      <c r="U263" s="136"/>
    </row>
    <row r="264" spans="1:21">
      <c r="A264" s="1157">
        <f t="shared" si="26"/>
        <v>44135</v>
      </c>
      <c r="B264" s="1158">
        <f t="shared" si="24"/>
        <v>2021</v>
      </c>
      <c r="C264" s="1326">
        <v>109.2</v>
      </c>
      <c r="D264" s="1326">
        <v>294.3</v>
      </c>
      <c r="E264" s="1159">
        <f>IF($A264&lt;DATE(2018,7,1),"-",INDEX('I1 - Universal Data'!$E$16:$V$16, MATCH(YEAR(EOMONTH($A264,6)), 'I1 - Universal Data'!$E$14:$V$14, 0)))</f>
        <v>2.5882219500718229E-2</v>
      </c>
      <c r="F264" s="1159">
        <f>IF($A264&lt;DATE(2018,7,1),"-",INDEX('I1 - Universal Data'!$E$15:$V$15, MATCH(YEAR(EOMONTH($A264,6)), 'I1 - Universal Data'!$E$14:$V$14, 0)))</f>
        <v>4.0452569031158125E-2</v>
      </c>
      <c r="G264" s="1160">
        <f t="shared" si="25"/>
        <v>109.2</v>
      </c>
      <c r="H264" s="1160">
        <f t="shared" si="25"/>
        <v>294.3</v>
      </c>
      <c r="T264" s="1149"/>
      <c r="U264" s="136"/>
    </row>
    <row r="265" spans="1:21">
      <c r="A265" s="1157">
        <f t="shared" si="26"/>
        <v>44165</v>
      </c>
      <c r="B265" s="1158">
        <f t="shared" si="24"/>
        <v>2021</v>
      </c>
      <c r="C265" s="1326">
        <v>109.1</v>
      </c>
      <c r="D265" s="1326">
        <v>293.5</v>
      </c>
      <c r="E265" s="1159">
        <f>IF($A265&lt;DATE(2018,7,1),"-",INDEX('I1 - Universal Data'!$E$16:$V$16, MATCH(YEAR(EOMONTH($A265,6)), 'I1 - Universal Data'!$E$14:$V$14, 0)))</f>
        <v>2.5882219500718229E-2</v>
      </c>
      <c r="F265" s="1159">
        <f>IF($A265&lt;DATE(2018,7,1),"-",INDEX('I1 - Universal Data'!$E$15:$V$15, MATCH(YEAR(EOMONTH($A265,6)), 'I1 - Universal Data'!$E$14:$V$14, 0)))</f>
        <v>4.0452569031158125E-2</v>
      </c>
      <c r="G265" s="1160">
        <f t="shared" si="25"/>
        <v>109.1</v>
      </c>
      <c r="H265" s="1160">
        <f t="shared" si="25"/>
        <v>293.5</v>
      </c>
      <c r="T265" s="1149"/>
      <c r="U265" s="1150"/>
    </row>
    <row r="266" spans="1:21">
      <c r="A266" s="1157">
        <f t="shared" si="26"/>
        <v>44196</v>
      </c>
      <c r="B266" s="1158">
        <f t="shared" si="24"/>
        <v>2021</v>
      </c>
      <c r="C266" s="1326">
        <v>109.4</v>
      </c>
      <c r="D266" s="1326">
        <v>295.39999999999998</v>
      </c>
      <c r="E266" s="1159">
        <f>IF($A266&lt;DATE(2018,7,1),"-",INDEX('I1 - Universal Data'!$E$16:$V$16, MATCH(YEAR(EOMONTH($A266,6)), 'I1 - Universal Data'!$E$14:$V$14, 0)))</f>
        <v>2.5882219500718229E-2</v>
      </c>
      <c r="F266" s="1159">
        <f>IF($A266&lt;DATE(2018,7,1),"-",INDEX('I1 - Universal Data'!$E$15:$V$15, MATCH(YEAR(EOMONTH($A266,6)), 'I1 - Universal Data'!$E$14:$V$14, 0)))</f>
        <v>4.0452569031158125E-2</v>
      </c>
      <c r="G266" s="1160">
        <f t="shared" si="25"/>
        <v>109.4</v>
      </c>
      <c r="H266" s="1160">
        <f t="shared" si="25"/>
        <v>295.39999999999998</v>
      </c>
      <c r="T266" s="1149"/>
      <c r="U266" s="136"/>
    </row>
    <row r="267" spans="1:21">
      <c r="A267" s="1157">
        <f t="shared" si="26"/>
        <v>44227</v>
      </c>
      <c r="B267" s="1158">
        <f t="shared" si="24"/>
        <v>2021</v>
      </c>
      <c r="C267" s="1326">
        <v>109.3</v>
      </c>
      <c r="D267" s="1326">
        <v>294.60000000000002</v>
      </c>
      <c r="E267" s="1159">
        <f>IF($A267&lt;DATE(2018,7,1),"-",INDEX('I1 - Universal Data'!$E$16:$V$16, MATCH(YEAR(EOMONTH($A267,6)), 'I1 - Universal Data'!$E$14:$V$14, 0)))</f>
        <v>2.5882219500718229E-2</v>
      </c>
      <c r="F267" s="1159">
        <f>IF($A267&lt;DATE(2018,7,1),"-",INDEX('I1 - Universal Data'!$E$15:$V$15, MATCH(YEAR(EOMONTH($A267,6)), 'I1 - Universal Data'!$E$14:$V$14, 0)))</f>
        <v>4.0452569031158125E-2</v>
      </c>
      <c r="G267" s="1160">
        <f t="shared" si="25"/>
        <v>109.3</v>
      </c>
      <c r="H267" s="1160">
        <f t="shared" si="25"/>
        <v>294.60000000000002</v>
      </c>
      <c r="T267" s="1149"/>
      <c r="U267" s="136"/>
    </row>
    <row r="268" spans="1:21">
      <c r="A268" s="1157">
        <f t="shared" si="26"/>
        <v>44255</v>
      </c>
      <c r="B268" s="1158">
        <f t="shared" si="24"/>
        <v>2021</v>
      </c>
      <c r="C268" s="1326">
        <v>109.4</v>
      </c>
      <c r="D268" s="1326">
        <v>296</v>
      </c>
      <c r="E268" s="1159">
        <f>IF($A268&lt;DATE(2018,7,1),"-",INDEX('I1 - Universal Data'!$E$16:$V$16, MATCH(YEAR(EOMONTH($A268,6)), 'I1 - Universal Data'!$E$14:$V$14, 0)))</f>
        <v>2.5882219500718229E-2</v>
      </c>
      <c r="F268" s="1159">
        <f>IF($A268&lt;DATE(2018,7,1),"-",INDEX('I1 - Universal Data'!$E$15:$V$15, MATCH(YEAR(EOMONTH($A268,6)), 'I1 - Universal Data'!$E$14:$V$14, 0)))</f>
        <v>4.0452569031158125E-2</v>
      </c>
      <c r="G268" s="1160">
        <f t="shared" si="25"/>
        <v>109.4</v>
      </c>
      <c r="H268" s="1160">
        <f t="shared" si="25"/>
        <v>296</v>
      </c>
      <c r="I268" s="1151"/>
      <c r="T268" s="1149"/>
      <c r="U268" s="136"/>
    </row>
    <row r="269" spans="1:21">
      <c r="A269" s="1157">
        <f t="shared" si="26"/>
        <v>44286</v>
      </c>
      <c r="B269" s="1158">
        <f t="shared" si="24"/>
        <v>2021</v>
      </c>
      <c r="C269" s="1326">
        <v>109.7</v>
      </c>
      <c r="D269" s="1326">
        <v>296.89999999999998</v>
      </c>
      <c r="E269" s="1159">
        <f>IF($A269&lt;DATE(2018,7,1),"-",INDEX('I1 - Universal Data'!$E$16:$V$16, MATCH(YEAR(EOMONTH($A269,6)), 'I1 - Universal Data'!$E$14:$V$14, 0)))</f>
        <v>2.5882219500718229E-2</v>
      </c>
      <c r="F269" s="1159">
        <f>IF($A269&lt;DATE(2018,7,1),"-",INDEX('I1 - Universal Data'!$E$15:$V$15, MATCH(YEAR(EOMONTH($A269,6)), 'I1 - Universal Data'!$E$14:$V$14, 0)))</f>
        <v>4.0452569031158125E-2</v>
      </c>
      <c r="G269" s="1160">
        <f t="shared" si="25"/>
        <v>109.7</v>
      </c>
      <c r="H269" s="1160">
        <f t="shared" si="25"/>
        <v>296.89999999999998</v>
      </c>
      <c r="I269" s="1151"/>
      <c r="T269" s="1149"/>
      <c r="U269" s="136"/>
    </row>
    <row r="270" spans="1:21">
      <c r="A270" s="1157">
        <f t="shared" si="26"/>
        <v>44316</v>
      </c>
      <c r="B270" s="1158">
        <f t="shared" si="24"/>
        <v>2022</v>
      </c>
      <c r="C270" s="1326">
        <v>110.4</v>
      </c>
      <c r="D270" s="1326">
        <v>301.10000000000002</v>
      </c>
      <c r="E270" s="1159">
        <f>IF($A270&lt;DATE(2018,7,1),"-",INDEX('I1 - Universal Data'!$E$16:$V$16, MATCH(YEAR(EOMONTH($A270,6)), 'I1 - Universal Data'!$E$14:$V$14, 0)))</f>
        <v>2.5882219500718229E-2</v>
      </c>
      <c r="F270" s="1159">
        <f>IF($A270&lt;DATE(2018,7,1),"-",INDEX('I1 - Universal Data'!$E$15:$V$15, MATCH(YEAR(EOMONTH($A270,6)), 'I1 - Universal Data'!$E$14:$V$14, 0)))</f>
        <v>4.0452569031158125E-2</v>
      </c>
      <c r="G270" s="1160">
        <f t="shared" si="25"/>
        <v>110.4</v>
      </c>
      <c r="H270" s="1160">
        <f t="shared" si="25"/>
        <v>301.10000000000002</v>
      </c>
      <c r="I270" s="1151"/>
      <c r="T270" s="1149"/>
      <c r="U270" s="1150"/>
    </row>
    <row r="271" spans="1:21">
      <c r="A271" s="1157">
        <f t="shared" si="26"/>
        <v>44347</v>
      </c>
      <c r="B271" s="1158">
        <f t="shared" si="24"/>
        <v>2022</v>
      </c>
      <c r="C271" s="1326">
        <v>111</v>
      </c>
      <c r="D271" s="1326">
        <v>301.89999999999998</v>
      </c>
      <c r="E271" s="1159">
        <f>IF($A271&lt;DATE(2018,7,1),"-",INDEX('I1 - Universal Data'!$E$16:$V$16, MATCH(YEAR(EOMONTH($A271,6)), 'I1 - Universal Data'!$E$14:$V$14, 0)))</f>
        <v>2.5882219500718229E-2</v>
      </c>
      <c r="F271" s="1159">
        <f>IF($A271&lt;DATE(2018,7,1),"-",INDEX('I1 - Universal Data'!$E$15:$V$15, MATCH(YEAR(EOMONTH($A271,6)), 'I1 - Universal Data'!$E$14:$V$14, 0)))</f>
        <v>4.0452569031158125E-2</v>
      </c>
      <c r="G271" s="1160">
        <f t="shared" si="25"/>
        <v>111</v>
      </c>
      <c r="H271" s="1160">
        <f t="shared" si="25"/>
        <v>301.89999999999998</v>
      </c>
      <c r="I271" s="1151"/>
      <c r="T271" s="1149"/>
      <c r="U271" s="1150"/>
    </row>
    <row r="272" spans="1:21">
      <c r="A272" s="1157">
        <f t="shared" si="26"/>
        <v>44377</v>
      </c>
      <c r="B272" s="1158">
        <f t="shared" si="24"/>
        <v>2022</v>
      </c>
      <c r="C272" s="1326">
        <v>111.4</v>
      </c>
      <c r="D272" s="1326">
        <v>304</v>
      </c>
      <c r="E272" s="1159">
        <f>IF($A272&lt;DATE(2018,7,1),"-",INDEX('I1 - Universal Data'!$E$16:$V$16, MATCH(YEAR(EOMONTH($A272,6)), 'I1 - Universal Data'!$E$14:$V$14, 0)))</f>
        <v>2.5882219500718229E-2</v>
      </c>
      <c r="F272" s="1159">
        <f>IF($A272&lt;DATE(2018,7,1),"-",INDEX('I1 - Universal Data'!$E$15:$V$15, MATCH(YEAR(EOMONTH($A272,6)), 'I1 - Universal Data'!$E$14:$V$14, 0)))</f>
        <v>4.0452569031158125E-2</v>
      </c>
      <c r="G272" s="1160">
        <f t="shared" si="25"/>
        <v>111.4</v>
      </c>
      <c r="H272" s="1160">
        <f t="shared" si="25"/>
        <v>304</v>
      </c>
      <c r="I272" s="1151"/>
      <c r="U272" s="1150"/>
    </row>
    <row r="273" spans="1:21">
      <c r="A273" s="1157">
        <f t="shared" si="26"/>
        <v>44408</v>
      </c>
      <c r="B273" s="1158">
        <f t="shared" si="24"/>
        <v>2022</v>
      </c>
      <c r="C273" s="1326">
        <v>111.4</v>
      </c>
      <c r="D273" s="1326">
        <v>305.5</v>
      </c>
      <c r="E273" s="1159">
        <f>IF($A273&lt;DATE(2018,7,1),"-",INDEX('I1 - Universal Data'!$E$16:$V$16, MATCH(YEAR(EOMONTH($A273,6)), 'I1 - Universal Data'!$E$14:$V$14, 0)))</f>
        <v>9.0667455547039033E-2</v>
      </c>
      <c r="F273" s="1159">
        <f>IF($A273&lt;DATE(2018,7,1),"-",INDEX('I1 - Universal Data'!$E$15:$V$15, MATCH(YEAR(EOMONTH($A273,6)), 'I1 - Universal Data'!$E$14:$V$14, 0)))</f>
        <v>0.11584699426229506</v>
      </c>
      <c r="G273" s="1160">
        <f t="shared" si="25"/>
        <v>111.4</v>
      </c>
      <c r="H273" s="1160">
        <f t="shared" si="25"/>
        <v>305.5</v>
      </c>
      <c r="I273" s="1151"/>
      <c r="U273" s="1150"/>
    </row>
    <row r="274" spans="1:21">
      <c r="A274" s="1157">
        <f t="shared" si="26"/>
        <v>44439</v>
      </c>
      <c r="B274" s="1158">
        <f t="shared" si="24"/>
        <v>2022</v>
      </c>
      <c r="C274" s="1326">
        <v>112.1</v>
      </c>
      <c r="D274" s="1326">
        <v>307.39999999999998</v>
      </c>
      <c r="E274" s="1159">
        <f>IF($A274&lt;DATE(2018,7,1),"-",INDEX('I1 - Universal Data'!$E$16:$V$16, MATCH(YEAR(EOMONTH($A274,6)), 'I1 - Universal Data'!$E$14:$V$14, 0)))</f>
        <v>9.0667455547039033E-2</v>
      </c>
      <c r="F274" s="1159">
        <f>IF($A274&lt;DATE(2018,7,1),"-",INDEX('I1 - Universal Data'!$E$15:$V$15, MATCH(YEAR(EOMONTH($A274,6)), 'I1 - Universal Data'!$E$14:$V$14, 0)))</f>
        <v>0.11584699426229506</v>
      </c>
      <c r="G274" s="1160">
        <f t="shared" si="25"/>
        <v>112.1</v>
      </c>
      <c r="H274" s="1160">
        <f t="shared" si="25"/>
        <v>307.39999999999998</v>
      </c>
      <c r="I274" s="1151"/>
      <c r="U274" s="1150"/>
    </row>
    <row r="275" spans="1:21">
      <c r="A275" s="1157">
        <f t="shared" si="26"/>
        <v>44469</v>
      </c>
      <c r="B275" s="1158">
        <f t="shared" si="24"/>
        <v>2022</v>
      </c>
      <c r="C275" s="1326">
        <v>112.4</v>
      </c>
      <c r="D275" s="1326">
        <v>308.60000000000002</v>
      </c>
      <c r="E275" s="1159">
        <f>IF($A275&lt;DATE(2018,7,1),"-",INDEX('I1 - Universal Data'!$E$16:$V$16, MATCH(YEAR(EOMONTH($A275,6)), 'I1 - Universal Data'!$E$14:$V$14, 0)))</f>
        <v>9.0667455547039033E-2</v>
      </c>
      <c r="F275" s="1159">
        <f>IF($A275&lt;DATE(2018,7,1),"-",INDEX('I1 - Universal Data'!$E$15:$V$15, MATCH(YEAR(EOMONTH($A275,6)), 'I1 - Universal Data'!$E$14:$V$14, 0)))</f>
        <v>0.11584699426229506</v>
      </c>
      <c r="G275" s="1160">
        <f t="shared" si="25"/>
        <v>112.4</v>
      </c>
      <c r="H275" s="1160">
        <f t="shared" si="25"/>
        <v>308.60000000000002</v>
      </c>
      <c r="I275" s="1151"/>
      <c r="U275" s="1150"/>
    </row>
    <row r="276" spans="1:21">
      <c r="A276" s="1157">
        <f t="shared" si="26"/>
        <v>44500</v>
      </c>
      <c r="B276" s="1158">
        <f t="shared" si="24"/>
        <v>2022</v>
      </c>
      <c r="C276" s="1326">
        <v>113.4</v>
      </c>
      <c r="D276" s="1326">
        <v>312</v>
      </c>
      <c r="E276" s="1159">
        <f>IF($A276&lt;DATE(2018,7,1),"-",INDEX('I1 - Universal Data'!$E$16:$V$16, MATCH(YEAR(EOMONTH($A276,6)), 'I1 - Universal Data'!$E$14:$V$14, 0)))</f>
        <v>9.0667455547039033E-2</v>
      </c>
      <c r="F276" s="1159">
        <f>IF($A276&lt;DATE(2018,7,1),"-",INDEX('I1 - Universal Data'!$E$15:$V$15, MATCH(YEAR(EOMONTH($A276,6)), 'I1 - Universal Data'!$E$14:$V$14, 0)))</f>
        <v>0.11584699426229506</v>
      </c>
      <c r="G276" s="1160">
        <f t="shared" si="25"/>
        <v>113.4</v>
      </c>
      <c r="H276" s="1160">
        <f t="shared" si="25"/>
        <v>312</v>
      </c>
      <c r="I276" s="1151"/>
      <c r="U276" s="1150"/>
    </row>
    <row r="277" spans="1:21">
      <c r="A277" s="1157">
        <f t="shared" si="26"/>
        <v>44530</v>
      </c>
      <c r="B277" s="1158">
        <f t="shared" si="24"/>
        <v>2022</v>
      </c>
      <c r="C277" s="1326">
        <v>114.1</v>
      </c>
      <c r="D277" s="1326">
        <v>314.3</v>
      </c>
      <c r="E277" s="1159">
        <f>IF($A277&lt;DATE(2018,7,1),"-",INDEX('I1 - Universal Data'!$E$16:$V$16, MATCH(YEAR(EOMONTH($A277,6)), 'I1 - Universal Data'!$E$14:$V$14, 0)))</f>
        <v>9.0667455547039033E-2</v>
      </c>
      <c r="F277" s="1159">
        <f>IF($A277&lt;DATE(2018,7,1),"-",INDEX('I1 - Universal Data'!$E$15:$V$15, MATCH(YEAR(EOMONTH($A277,6)), 'I1 - Universal Data'!$E$14:$V$14, 0)))</f>
        <v>0.11584699426229506</v>
      </c>
      <c r="G277" s="1160">
        <f t="shared" si="25"/>
        <v>114.1</v>
      </c>
      <c r="H277" s="1160">
        <f t="shared" si="25"/>
        <v>314.3</v>
      </c>
      <c r="I277" s="1151"/>
      <c r="U277" s="1150"/>
    </row>
    <row r="278" spans="1:21">
      <c r="A278" s="1157">
        <f t="shared" si="26"/>
        <v>44561</v>
      </c>
      <c r="B278" s="1158">
        <f t="shared" si="24"/>
        <v>2022</v>
      </c>
      <c r="C278" s="1326">
        <v>114.7</v>
      </c>
      <c r="D278" s="1326">
        <v>317.7</v>
      </c>
      <c r="E278" s="1159">
        <f>IF($A278&lt;DATE(2018,7,1),"-",INDEX('I1 - Universal Data'!$E$16:$V$16, MATCH(YEAR(EOMONTH($A278,6)), 'I1 - Universal Data'!$E$14:$V$14, 0)))</f>
        <v>9.0667455547039033E-2</v>
      </c>
      <c r="F278" s="1159">
        <f>IF($A278&lt;DATE(2018,7,1),"-",INDEX('I1 - Universal Data'!$E$15:$V$15, MATCH(YEAR(EOMONTH($A278,6)), 'I1 - Universal Data'!$E$14:$V$14, 0)))</f>
        <v>0.11584699426229506</v>
      </c>
      <c r="G278" s="1160">
        <f t="shared" ref="G278:H293" si="27">IF(ISBLANK(C278),G277*((1+E278)^(1/12)),C278)</f>
        <v>114.7</v>
      </c>
      <c r="H278" s="1160">
        <f t="shared" si="27"/>
        <v>317.7</v>
      </c>
      <c r="I278" s="1151"/>
      <c r="U278" s="1150"/>
    </row>
    <row r="279" spans="1:21">
      <c r="A279" s="1157">
        <f t="shared" si="26"/>
        <v>44592</v>
      </c>
      <c r="B279" s="1158">
        <f t="shared" si="24"/>
        <v>2022</v>
      </c>
      <c r="C279" s="1326">
        <v>114.6</v>
      </c>
      <c r="D279" s="1326">
        <v>317.7</v>
      </c>
      <c r="E279" s="1159">
        <f>IF($A279&lt;DATE(2018,7,1),"-",INDEX('I1 - Universal Data'!$E$16:$V$16, MATCH(YEAR(EOMONTH($A279,6)), 'I1 - Universal Data'!$E$14:$V$14, 0)))</f>
        <v>9.0667455547039033E-2</v>
      </c>
      <c r="F279" s="1159">
        <f>IF($A279&lt;DATE(2018,7,1),"-",INDEX('I1 - Universal Data'!$E$15:$V$15, MATCH(YEAR(EOMONTH($A279,6)), 'I1 - Universal Data'!$E$14:$V$14, 0)))</f>
        <v>0.11584699426229506</v>
      </c>
      <c r="G279" s="1160">
        <f t="shared" si="27"/>
        <v>114.6</v>
      </c>
      <c r="H279" s="1160">
        <f t="shared" si="27"/>
        <v>317.7</v>
      </c>
      <c r="I279" s="1151"/>
      <c r="U279" s="1150"/>
    </row>
    <row r="280" spans="1:21">
      <c r="A280" s="1157">
        <f t="shared" si="26"/>
        <v>44620</v>
      </c>
      <c r="B280" s="1158">
        <f t="shared" si="24"/>
        <v>2022</v>
      </c>
      <c r="C280" s="1326">
        <v>115.4</v>
      </c>
      <c r="D280" s="1326">
        <v>320.2</v>
      </c>
      <c r="E280" s="1159">
        <f>IF($A280&lt;DATE(2018,7,1),"-",INDEX('I1 - Universal Data'!$E$16:$V$16, MATCH(YEAR(EOMONTH($A280,6)), 'I1 - Universal Data'!$E$14:$V$14, 0)))</f>
        <v>9.0667455547039033E-2</v>
      </c>
      <c r="F280" s="1159">
        <f>IF($A280&lt;DATE(2018,7,1),"-",INDEX('I1 - Universal Data'!$E$15:$V$15, MATCH(YEAR(EOMONTH($A280,6)), 'I1 - Universal Data'!$E$14:$V$14, 0)))</f>
        <v>0.11584699426229506</v>
      </c>
      <c r="G280" s="1160">
        <f t="shared" si="27"/>
        <v>115.4</v>
      </c>
      <c r="H280" s="1160">
        <f t="shared" si="27"/>
        <v>320.2</v>
      </c>
      <c r="U280" s="1150"/>
    </row>
    <row r="281" spans="1:21">
      <c r="A281" s="1157">
        <f t="shared" si="26"/>
        <v>44651</v>
      </c>
      <c r="B281" s="1158">
        <f t="shared" si="24"/>
        <v>2022</v>
      </c>
      <c r="C281" s="1326">
        <v>116.5</v>
      </c>
      <c r="D281" s="1326">
        <v>323.5</v>
      </c>
      <c r="E281" s="1159">
        <f>IF($A281&lt;DATE(2018,7,1),"-",INDEX('I1 - Universal Data'!$E$16:$V$16, MATCH(YEAR(EOMONTH($A281,6)), 'I1 - Universal Data'!$E$14:$V$14, 0)))</f>
        <v>9.0667455547039033E-2</v>
      </c>
      <c r="F281" s="1159">
        <f>IF($A281&lt;DATE(2018,7,1),"-",INDEX('I1 - Universal Data'!$E$15:$V$15, MATCH(YEAR(EOMONTH($A281,6)), 'I1 - Universal Data'!$E$14:$V$14, 0)))</f>
        <v>0.11584699426229506</v>
      </c>
      <c r="G281" s="1160">
        <f t="shared" si="27"/>
        <v>116.5</v>
      </c>
      <c r="H281" s="1160">
        <f t="shared" si="27"/>
        <v>323.5</v>
      </c>
      <c r="U281" s="1150"/>
    </row>
    <row r="282" spans="1:21">
      <c r="A282" s="1157">
        <f t="shared" si="26"/>
        <v>44681</v>
      </c>
      <c r="B282" s="1158">
        <f t="shared" si="24"/>
        <v>2023</v>
      </c>
      <c r="C282" s="1326">
        <v>119</v>
      </c>
      <c r="D282" s="1326">
        <v>334.6</v>
      </c>
      <c r="E282" s="1159">
        <f>IF($A282&lt;DATE(2018,7,1),"-",INDEX('I1 - Universal Data'!$E$16:$V$16, MATCH(YEAR(EOMONTH($A282,6)), 'I1 - Universal Data'!$E$14:$V$14, 0)))</f>
        <v>9.0667455547039033E-2</v>
      </c>
      <c r="F282" s="1159">
        <f>IF($A282&lt;DATE(2018,7,1),"-",INDEX('I1 - Universal Data'!$E$15:$V$15, MATCH(YEAR(EOMONTH($A282,6)), 'I1 - Universal Data'!$E$14:$V$14, 0)))</f>
        <v>0.11584699426229506</v>
      </c>
      <c r="G282" s="1160">
        <f t="shared" si="27"/>
        <v>119</v>
      </c>
      <c r="H282" s="1160">
        <f t="shared" si="27"/>
        <v>334.6</v>
      </c>
      <c r="U282" s="136"/>
    </row>
    <row r="283" spans="1:21">
      <c r="A283" s="1157">
        <f t="shared" si="26"/>
        <v>44712</v>
      </c>
      <c r="B283" s="1158">
        <f t="shared" si="24"/>
        <v>2023</v>
      </c>
      <c r="C283" s="1326">
        <v>119.7</v>
      </c>
      <c r="D283" s="1326">
        <v>337.1</v>
      </c>
      <c r="E283" s="1159">
        <f>IF($A283&lt;DATE(2018,7,1),"-",INDEX('I1 - Universal Data'!$E$16:$V$16, MATCH(YEAR(EOMONTH($A283,6)), 'I1 - Universal Data'!$E$14:$V$14, 0)))</f>
        <v>9.0667455547039033E-2</v>
      </c>
      <c r="F283" s="1159">
        <f>IF($A283&lt;DATE(2018,7,1),"-",INDEX('I1 - Universal Data'!$E$15:$V$15, MATCH(YEAR(EOMONTH($A283,6)), 'I1 - Universal Data'!$E$14:$V$14, 0)))</f>
        <v>0.11584699426229506</v>
      </c>
      <c r="G283" s="1160">
        <f t="shared" si="27"/>
        <v>119.7</v>
      </c>
      <c r="H283" s="1160">
        <f t="shared" si="27"/>
        <v>337.1</v>
      </c>
      <c r="U283" s="136"/>
    </row>
    <row r="284" spans="1:21">
      <c r="A284" s="1157">
        <f t="shared" si="26"/>
        <v>44742</v>
      </c>
      <c r="B284" s="1158">
        <f t="shared" si="24"/>
        <v>2023</v>
      </c>
      <c r="C284" s="1326">
        <v>120.5</v>
      </c>
      <c r="D284" s="1326">
        <v>340</v>
      </c>
      <c r="E284" s="1159">
        <f>IF($A284&lt;DATE(2018,7,1),"-",INDEX('I1 - Universal Data'!$E$16:$V$16, MATCH(YEAR(EOMONTH($A284,6)), 'I1 - Universal Data'!$E$14:$V$14, 0)))</f>
        <v>9.0667455547039033E-2</v>
      </c>
      <c r="F284" s="1159">
        <f>IF($A284&lt;DATE(2018,7,1),"-",INDEX('I1 - Universal Data'!$E$15:$V$15, MATCH(YEAR(EOMONTH($A284,6)), 'I1 - Universal Data'!$E$14:$V$14, 0)))</f>
        <v>0.11584699426229506</v>
      </c>
      <c r="G284" s="1160">
        <f t="shared" si="27"/>
        <v>120.5</v>
      </c>
      <c r="H284" s="1160">
        <f t="shared" si="27"/>
        <v>340</v>
      </c>
      <c r="U284" s="136"/>
    </row>
    <row r="285" spans="1:21">
      <c r="A285" s="1157">
        <f t="shared" si="26"/>
        <v>44773</v>
      </c>
      <c r="B285" s="1158">
        <f t="shared" si="24"/>
        <v>2023</v>
      </c>
      <c r="C285" s="1326">
        <v>121.2</v>
      </c>
      <c r="D285" s="1326">
        <v>343.2</v>
      </c>
      <c r="E285" s="1159">
        <f>IF($A285&lt;DATE(2018,7,1),"-",INDEX('I1 - Universal Data'!$E$16:$V$16, MATCH(YEAR(EOMONTH($A285,6)), 'I1 - Universal Data'!$E$14:$V$14, 0)))</f>
        <v>7.3032807433557098E-2</v>
      </c>
      <c r="F285" s="1159">
        <f>IF($A285&lt;DATE(2018,7,1),"-",INDEX('I1 - Universal Data'!$E$15:$V$15, MATCH(YEAR(EOMONTH($A285,6)), 'I1 - Universal Data'!$E$14:$V$14, 0)))</f>
        <v>9.6914789201007601E-2</v>
      </c>
      <c r="G285" s="1160">
        <f t="shared" si="27"/>
        <v>121.2</v>
      </c>
      <c r="H285" s="1160">
        <f t="shared" si="27"/>
        <v>343.2</v>
      </c>
      <c r="U285" s="136"/>
    </row>
    <row r="286" spans="1:21">
      <c r="A286" s="1157">
        <f t="shared" si="26"/>
        <v>44804</v>
      </c>
      <c r="B286" s="1158">
        <f t="shared" si="24"/>
        <v>2023</v>
      </c>
      <c r="C286" s="1326">
        <v>121.8</v>
      </c>
      <c r="D286" s="1326">
        <v>345.2</v>
      </c>
      <c r="E286" s="1159">
        <f>IF($A286&lt;DATE(2018,7,1),"-",INDEX('I1 - Universal Data'!$E$16:$V$16, MATCH(YEAR(EOMONTH($A286,6)), 'I1 - Universal Data'!$E$14:$V$14, 0)))</f>
        <v>7.3032807433557098E-2</v>
      </c>
      <c r="F286" s="1159">
        <f>IF($A286&lt;DATE(2018,7,1),"-",INDEX('I1 - Universal Data'!$E$15:$V$15, MATCH(YEAR(EOMONTH($A286,6)), 'I1 - Universal Data'!$E$14:$V$14, 0)))</f>
        <v>9.6914789201007601E-2</v>
      </c>
      <c r="G286" s="1160">
        <f t="shared" si="27"/>
        <v>121.8</v>
      </c>
      <c r="H286" s="1160">
        <f t="shared" si="27"/>
        <v>345.2</v>
      </c>
      <c r="U286" s="136"/>
    </row>
    <row r="287" spans="1:21">
      <c r="A287" s="1157">
        <f t="shared" si="26"/>
        <v>44834</v>
      </c>
      <c r="B287" s="1158">
        <f t="shared" si="24"/>
        <v>2023</v>
      </c>
      <c r="C287" s="1326">
        <v>122.3</v>
      </c>
      <c r="D287" s="1326">
        <v>347.6</v>
      </c>
      <c r="E287" s="1159">
        <f>IF($A287&lt;DATE(2018,7,1),"-",INDEX('I1 - Universal Data'!$E$16:$V$16, MATCH(YEAR(EOMONTH($A287,6)), 'I1 - Universal Data'!$E$14:$V$14, 0)))</f>
        <v>7.3032807433557098E-2</v>
      </c>
      <c r="F287" s="1159">
        <f>IF($A287&lt;DATE(2018,7,1),"-",INDEX('I1 - Universal Data'!$E$15:$V$15, MATCH(YEAR(EOMONTH($A287,6)), 'I1 - Universal Data'!$E$14:$V$14, 0)))</f>
        <v>9.6914789201007601E-2</v>
      </c>
      <c r="G287" s="1160">
        <f t="shared" si="27"/>
        <v>122.3</v>
      </c>
      <c r="H287" s="1160">
        <f t="shared" si="27"/>
        <v>347.6</v>
      </c>
      <c r="U287" s="136"/>
    </row>
    <row r="288" spans="1:21">
      <c r="A288" s="1157">
        <f t="shared" si="26"/>
        <v>44865</v>
      </c>
      <c r="B288" s="1158">
        <f t="shared" si="24"/>
        <v>2023</v>
      </c>
      <c r="C288" s="1326">
        <v>124.3</v>
      </c>
      <c r="D288" s="1326">
        <v>356.2</v>
      </c>
      <c r="E288" s="1159">
        <f>IF($A288&lt;DATE(2018,7,1),"-",INDEX('I1 - Universal Data'!$E$16:$V$16, MATCH(YEAR(EOMONTH($A288,6)), 'I1 - Universal Data'!$E$14:$V$14, 0)))</f>
        <v>7.3032807433557098E-2</v>
      </c>
      <c r="F288" s="1159">
        <f>IF($A288&lt;DATE(2018,7,1),"-",INDEX('I1 - Universal Data'!$E$15:$V$15, MATCH(YEAR(EOMONTH($A288,6)), 'I1 - Universal Data'!$E$14:$V$14, 0)))</f>
        <v>9.6914789201007601E-2</v>
      </c>
      <c r="G288" s="1160">
        <f t="shared" si="27"/>
        <v>124.3</v>
      </c>
      <c r="H288" s="1160">
        <f t="shared" si="27"/>
        <v>356.2</v>
      </c>
      <c r="U288" s="136"/>
    </row>
    <row r="289" spans="1:21">
      <c r="A289" s="1157">
        <f t="shared" si="26"/>
        <v>44895</v>
      </c>
      <c r="B289" s="1158">
        <f t="shared" si="24"/>
        <v>2023</v>
      </c>
      <c r="C289" s="1326">
        <v>124.8</v>
      </c>
      <c r="D289" s="1326">
        <v>358.3</v>
      </c>
      <c r="E289" s="1159">
        <f>IF($A289&lt;DATE(2018,7,1),"-",INDEX('I1 - Universal Data'!$E$16:$V$16, MATCH(YEAR(EOMONTH($A289,6)), 'I1 - Universal Data'!$E$14:$V$14, 0)))</f>
        <v>7.3032807433557098E-2</v>
      </c>
      <c r="F289" s="1159">
        <f>IF($A289&lt;DATE(2018,7,1),"-",INDEX('I1 - Universal Data'!$E$15:$V$15, MATCH(YEAR(EOMONTH($A289,6)), 'I1 - Universal Data'!$E$14:$V$14, 0)))</f>
        <v>9.6914789201007601E-2</v>
      </c>
      <c r="G289" s="1160">
        <f t="shared" si="27"/>
        <v>124.8</v>
      </c>
      <c r="H289" s="1160">
        <f t="shared" si="27"/>
        <v>358.3</v>
      </c>
      <c r="U289" s="136"/>
    </row>
    <row r="290" spans="1:21">
      <c r="A290" s="1157">
        <f t="shared" si="26"/>
        <v>44926</v>
      </c>
      <c r="B290" s="1158">
        <f t="shared" si="24"/>
        <v>2023</v>
      </c>
      <c r="C290" s="1326">
        <v>125.3</v>
      </c>
      <c r="D290" s="1326">
        <v>360.4</v>
      </c>
      <c r="E290" s="1159">
        <f>IF($A290&lt;DATE(2018,7,1),"-",INDEX('I1 - Universal Data'!$E$16:$V$16, MATCH(YEAR(EOMONTH($A290,6)), 'I1 - Universal Data'!$E$14:$V$14, 0)))</f>
        <v>7.3032807433557098E-2</v>
      </c>
      <c r="F290" s="1159">
        <f>IF($A290&lt;DATE(2018,7,1),"-",INDEX('I1 - Universal Data'!$E$15:$V$15, MATCH(YEAR(EOMONTH($A290,6)), 'I1 - Universal Data'!$E$14:$V$14, 0)))</f>
        <v>9.6914789201007601E-2</v>
      </c>
      <c r="G290" s="1160">
        <f t="shared" si="27"/>
        <v>125.3</v>
      </c>
      <c r="H290" s="1160">
        <f t="shared" si="27"/>
        <v>360.4</v>
      </c>
      <c r="U290" s="136"/>
    </row>
    <row r="291" spans="1:21">
      <c r="A291" s="1157">
        <f t="shared" si="26"/>
        <v>44957</v>
      </c>
      <c r="B291" s="1158">
        <f t="shared" si="24"/>
        <v>2023</v>
      </c>
      <c r="C291" s="1326">
        <v>124.8</v>
      </c>
      <c r="D291" s="1326">
        <v>360.3</v>
      </c>
      <c r="E291" s="1159">
        <f>IF($A291&lt;DATE(2018,7,1),"-",INDEX('I1 - Universal Data'!$E$16:$V$16, MATCH(YEAR(EOMONTH($A291,6)), 'I1 - Universal Data'!$E$14:$V$14, 0)))</f>
        <v>7.3032807433557098E-2</v>
      </c>
      <c r="F291" s="1159">
        <f>IF($A291&lt;DATE(2018,7,1),"-",INDEX('I1 - Universal Data'!$E$15:$V$15, MATCH(YEAR(EOMONTH($A291,6)), 'I1 - Universal Data'!$E$14:$V$14, 0)))</f>
        <v>9.6914789201007601E-2</v>
      </c>
      <c r="G291" s="1160">
        <f t="shared" si="27"/>
        <v>124.8</v>
      </c>
      <c r="H291" s="1160">
        <f t="shared" si="27"/>
        <v>360.3</v>
      </c>
      <c r="U291" s="136"/>
    </row>
    <row r="292" spans="1:21">
      <c r="A292" s="1157">
        <f t="shared" si="26"/>
        <v>44985</v>
      </c>
      <c r="B292" s="1158">
        <f t="shared" si="24"/>
        <v>2023</v>
      </c>
      <c r="C292" s="1326">
        <v>126</v>
      </c>
      <c r="D292" s="1326">
        <v>364.5</v>
      </c>
      <c r="E292" s="1159">
        <f>IF($A292&lt;DATE(2018,7,1),"-",INDEX('I1 - Universal Data'!$E$16:$V$16, MATCH(YEAR(EOMONTH($A292,6)), 'I1 - Universal Data'!$E$14:$V$14, 0)))</f>
        <v>7.3032807433557098E-2</v>
      </c>
      <c r="F292" s="1159">
        <f>IF($A292&lt;DATE(2018,7,1),"-",INDEX('I1 - Universal Data'!$E$15:$V$15, MATCH(YEAR(EOMONTH($A292,6)), 'I1 - Universal Data'!$E$14:$V$14, 0)))</f>
        <v>9.6914789201007601E-2</v>
      </c>
      <c r="G292" s="1160">
        <f t="shared" si="27"/>
        <v>126</v>
      </c>
      <c r="H292" s="1160">
        <f t="shared" si="27"/>
        <v>364.5</v>
      </c>
      <c r="U292" s="136"/>
    </row>
    <row r="293" spans="1:21">
      <c r="A293" s="1157">
        <f t="shared" si="26"/>
        <v>45016</v>
      </c>
      <c r="B293" s="1158">
        <f t="shared" si="24"/>
        <v>2023</v>
      </c>
      <c r="C293" s="1326">
        <v>126.8</v>
      </c>
      <c r="D293" s="1326">
        <v>367.2</v>
      </c>
      <c r="E293" s="1159">
        <f>IF($A293&lt;DATE(2018,7,1),"-",INDEX('I1 - Universal Data'!$E$16:$V$16, MATCH(YEAR(EOMONTH($A293,6)), 'I1 - Universal Data'!$E$14:$V$14, 0)))</f>
        <v>7.3032807433557098E-2</v>
      </c>
      <c r="F293" s="1159">
        <f>IF($A293&lt;DATE(2018,7,1),"-",INDEX('I1 - Universal Data'!$E$15:$V$15, MATCH(YEAR(EOMONTH($A293,6)), 'I1 - Universal Data'!$E$14:$V$14, 0)))</f>
        <v>9.6914789201007601E-2</v>
      </c>
      <c r="G293" s="1160">
        <f t="shared" si="27"/>
        <v>126.8</v>
      </c>
      <c r="H293" s="1160">
        <f t="shared" si="27"/>
        <v>367.2</v>
      </c>
      <c r="U293" s="136"/>
    </row>
    <row r="294" spans="1:21">
      <c r="A294" s="1157">
        <f t="shared" si="26"/>
        <v>45046</v>
      </c>
      <c r="B294" s="1158">
        <f t="shared" si="24"/>
        <v>2024</v>
      </c>
      <c r="C294" s="1326">
        <v>128.30000000000001</v>
      </c>
      <c r="D294" s="1326">
        <v>372.8</v>
      </c>
      <c r="E294" s="1159">
        <f>IF($A294&lt;DATE(2018,7,1),"-",INDEX('I1 - Universal Data'!$E$16:$V$16, MATCH(YEAR(EOMONTH($A294,6)), 'I1 - Universal Data'!$E$14:$V$14, 0)))</f>
        <v>7.3032807433557098E-2</v>
      </c>
      <c r="F294" s="1159">
        <f>IF($A294&lt;DATE(2018,7,1),"-",INDEX('I1 - Universal Data'!$E$15:$V$15, MATCH(YEAR(EOMONTH($A294,6)), 'I1 - Universal Data'!$E$14:$V$14, 0)))</f>
        <v>9.6914789201007601E-2</v>
      </c>
      <c r="G294" s="1160">
        <f t="shared" ref="G294:H309" si="28">IF(ISBLANK(C294),G293*((1+E294)^(1/12)),C294)</f>
        <v>128.30000000000001</v>
      </c>
      <c r="H294" s="1160">
        <f t="shared" si="28"/>
        <v>372.8</v>
      </c>
      <c r="U294" s="1148"/>
    </row>
    <row r="295" spans="1:21">
      <c r="A295" s="1157">
        <f t="shared" si="26"/>
        <v>45077</v>
      </c>
      <c r="B295" s="1158">
        <f t="shared" si="24"/>
        <v>2024</v>
      </c>
      <c r="C295" s="1326">
        <v>129.1</v>
      </c>
      <c r="D295" s="1326">
        <v>375.3</v>
      </c>
      <c r="E295" s="1159">
        <f>IF($A295&lt;DATE(2018,7,1),"-",INDEX('I1 - Universal Data'!$E$16:$V$16, MATCH(YEAR(EOMONTH($A295,6)), 'I1 - Universal Data'!$E$14:$V$14, 0)))</f>
        <v>7.3032807433557098E-2</v>
      </c>
      <c r="F295" s="1159">
        <f>IF($A295&lt;DATE(2018,7,1),"-",INDEX('I1 - Universal Data'!$E$15:$V$15, MATCH(YEAR(EOMONTH($A295,6)), 'I1 - Universal Data'!$E$14:$V$14, 0)))</f>
        <v>9.6914789201007601E-2</v>
      </c>
      <c r="G295" s="1160">
        <f t="shared" si="28"/>
        <v>129.1</v>
      </c>
      <c r="H295" s="1160">
        <f t="shared" si="28"/>
        <v>375.3</v>
      </c>
      <c r="U295" s="1148"/>
    </row>
    <row r="296" spans="1:21">
      <c r="A296" s="1157">
        <f t="shared" si="26"/>
        <v>45107</v>
      </c>
      <c r="B296" s="1158">
        <f t="shared" si="24"/>
        <v>2024</v>
      </c>
      <c r="C296" s="1326">
        <v>129.4</v>
      </c>
      <c r="D296" s="1326">
        <v>376.4</v>
      </c>
      <c r="E296" s="1159">
        <f>IF($A296&lt;DATE(2018,7,1),"-",INDEX('I1 - Universal Data'!$E$16:$V$16, MATCH(YEAR(EOMONTH($A296,6)), 'I1 - Universal Data'!$E$14:$V$14, 0)))</f>
        <v>7.3032807433557098E-2</v>
      </c>
      <c r="F296" s="1159">
        <f>IF($A296&lt;DATE(2018,7,1),"-",INDEX('I1 - Universal Data'!$E$15:$V$15, MATCH(YEAR(EOMONTH($A296,6)), 'I1 - Universal Data'!$E$14:$V$14, 0)))</f>
        <v>9.6914789201007601E-2</v>
      </c>
      <c r="G296" s="1160">
        <f t="shared" si="28"/>
        <v>129.4</v>
      </c>
      <c r="H296" s="1160">
        <f t="shared" si="28"/>
        <v>376.4</v>
      </c>
      <c r="U296" s="1148"/>
    </row>
    <row r="297" spans="1:21">
      <c r="A297" s="1157">
        <f t="shared" si="26"/>
        <v>45138</v>
      </c>
      <c r="B297" s="1158">
        <f t="shared" si="24"/>
        <v>2024</v>
      </c>
      <c r="C297" s="1326">
        <v>129</v>
      </c>
      <c r="D297" s="1326">
        <v>374.2</v>
      </c>
      <c r="E297" s="1159">
        <f>IF($A297&lt;DATE(2018,7,1),"-",INDEX('I1 - Universal Data'!$E$16:$V$16, MATCH(YEAR(EOMONTH($A297,6)), 'I1 - Universal Data'!$E$14:$V$14, 0)))</f>
        <v>2.1902133306788099E-2</v>
      </c>
      <c r="F297" s="1159">
        <f>IF($A297&lt;DATE(2018,7,1),"-",INDEX('I1 - Universal Data'!$E$15:$V$15, MATCH(YEAR(EOMONTH($A297,6)), 'I1 - Universal Data'!$E$14:$V$14, 0)))</f>
        <v>3.1356893625321E-2</v>
      </c>
      <c r="G297" s="1160">
        <f t="shared" si="28"/>
        <v>129</v>
      </c>
      <c r="H297" s="1160">
        <f t="shared" si="28"/>
        <v>374.2</v>
      </c>
      <c r="U297" s="1148"/>
    </row>
    <row r="298" spans="1:21">
      <c r="A298" s="1157">
        <f t="shared" si="26"/>
        <v>45169</v>
      </c>
      <c r="B298" s="1158">
        <f t="shared" si="24"/>
        <v>2024</v>
      </c>
      <c r="C298" s="1326">
        <v>129.4</v>
      </c>
      <c r="D298" s="1326">
        <v>376.6</v>
      </c>
      <c r="E298" s="1159">
        <f>IF($A298&lt;DATE(2018,7,1),"-",INDEX('I1 - Universal Data'!$E$16:$V$16, MATCH(YEAR(EOMONTH($A298,6)), 'I1 - Universal Data'!$E$14:$V$14, 0)))</f>
        <v>2.1902133306788099E-2</v>
      </c>
      <c r="F298" s="1159">
        <f>IF($A298&lt;DATE(2018,7,1),"-",INDEX('I1 - Universal Data'!$E$15:$V$15, MATCH(YEAR(EOMONTH($A298,6)), 'I1 - Universal Data'!$E$14:$V$14, 0)))</f>
        <v>3.1356893625321E-2</v>
      </c>
      <c r="G298" s="1160">
        <f t="shared" si="28"/>
        <v>129.4</v>
      </c>
      <c r="H298" s="1160">
        <f t="shared" si="28"/>
        <v>376.6</v>
      </c>
      <c r="U298" s="1148"/>
    </row>
    <row r="299" spans="1:21">
      <c r="A299" s="1157">
        <f t="shared" si="26"/>
        <v>45199</v>
      </c>
      <c r="B299" s="1158">
        <f t="shared" si="24"/>
        <v>2024</v>
      </c>
      <c r="C299" s="1326">
        <v>130.1</v>
      </c>
      <c r="D299" s="1326">
        <v>378.4</v>
      </c>
      <c r="E299" s="1159">
        <f>IF($A299&lt;DATE(2018,7,1),"-",INDEX('I1 - Universal Data'!$E$16:$V$16, MATCH(YEAR(EOMONTH($A299,6)), 'I1 - Universal Data'!$E$14:$V$14, 0)))</f>
        <v>2.1902133306788099E-2</v>
      </c>
      <c r="F299" s="1159">
        <f>IF($A299&lt;DATE(2018,7,1),"-",INDEX('I1 - Universal Data'!$E$15:$V$15, MATCH(YEAR(EOMONTH($A299,6)), 'I1 - Universal Data'!$E$14:$V$14, 0)))</f>
        <v>3.1356893625321E-2</v>
      </c>
      <c r="G299" s="1160">
        <f t="shared" si="28"/>
        <v>130.1</v>
      </c>
      <c r="H299" s="1160">
        <f t="shared" si="28"/>
        <v>378.4</v>
      </c>
      <c r="U299" s="1148"/>
    </row>
    <row r="300" spans="1:21">
      <c r="A300" s="1157">
        <f t="shared" si="26"/>
        <v>45230</v>
      </c>
      <c r="B300" s="1158">
        <f t="shared" si="24"/>
        <v>2024</v>
      </c>
      <c r="C300" s="1326">
        <v>130.19999999999999</v>
      </c>
      <c r="D300" s="1326">
        <v>377.8</v>
      </c>
      <c r="E300" s="1159">
        <f>IF($A300&lt;DATE(2018,7,1),"-",INDEX('I1 - Universal Data'!$E$16:$V$16, MATCH(YEAR(EOMONTH($A300,6)), 'I1 - Universal Data'!$E$14:$V$14, 0)))</f>
        <v>2.1902133306788099E-2</v>
      </c>
      <c r="F300" s="1159">
        <f>IF($A300&lt;DATE(2018,7,1),"-",INDEX('I1 - Universal Data'!$E$15:$V$15, MATCH(YEAR(EOMONTH($A300,6)), 'I1 - Universal Data'!$E$14:$V$14, 0)))</f>
        <v>3.1356893625321E-2</v>
      </c>
      <c r="G300" s="1160">
        <f t="shared" si="28"/>
        <v>130.19999999999999</v>
      </c>
      <c r="H300" s="1160">
        <f t="shared" si="28"/>
        <v>377.8</v>
      </c>
      <c r="U300" s="1148"/>
    </row>
    <row r="301" spans="1:21">
      <c r="A301" s="1157">
        <f t="shared" si="26"/>
        <v>45260</v>
      </c>
      <c r="B301" s="1158">
        <f t="shared" si="24"/>
        <v>2024</v>
      </c>
      <c r="C301" s="1326">
        <v>130</v>
      </c>
      <c r="D301" s="1326">
        <v>377.3</v>
      </c>
      <c r="E301" s="1159">
        <f>IF($A301&lt;DATE(2018,7,1),"-",INDEX('I1 - Universal Data'!$E$16:$V$16, MATCH(YEAR(EOMONTH($A301,6)), 'I1 - Universal Data'!$E$14:$V$14, 0)))</f>
        <v>2.1902133306788099E-2</v>
      </c>
      <c r="F301" s="1159">
        <f>IF($A301&lt;DATE(2018,7,1),"-",INDEX('I1 - Universal Data'!$E$15:$V$15, MATCH(YEAR(EOMONTH($A301,6)), 'I1 - Universal Data'!$E$14:$V$14, 0)))</f>
        <v>3.1356893625321E-2</v>
      </c>
      <c r="G301" s="1160">
        <f t="shared" si="28"/>
        <v>130</v>
      </c>
      <c r="H301" s="1160">
        <f t="shared" si="28"/>
        <v>377.3</v>
      </c>
      <c r="U301" s="1148"/>
    </row>
    <row r="302" spans="1:21">
      <c r="A302" s="1157">
        <f t="shared" si="26"/>
        <v>45291</v>
      </c>
      <c r="B302" s="1158">
        <f t="shared" si="24"/>
        <v>2024</v>
      </c>
      <c r="C302" s="1326">
        <v>130.5</v>
      </c>
      <c r="D302" s="1326">
        <v>379</v>
      </c>
      <c r="E302" s="1159">
        <f>IF($A302&lt;DATE(2018,7,1),"-",INDEX('I1 - Universal Data'!$E$16:$V$16, MATCH(YEAR(EOMONTH($A302,6)), 'I1 - Universal Data'!$E$14:$V$14, 0)))</f>
        <v>2.1902133306788099E-2</v>
      </c>
      <c r="F302" s="1159">
        <f>IF($A302&lt;DATE(2018,7,1),"-",INDEX('I1 - Universal Data'!$E$15:$V$15, MATCH(YEAR(EOMONTH($A302,6)), 'I1 - Universal Data'!$E$14:$V$14, 0)))</f>
        <v>3.1356893625321E-2</v>
      </c>
      <c r="G302" s="1160">
        <f t="shared" si="28"/>
        <v>130.5</v>
      </c>
      <c r="H302" s="1160">
        <f t="shared" si="28"/>
        <v>379</v>
      </c>
      <c r="U302" s="1148"/>
    </row>
    <row r="303" spans="1:21">
      <c r="A303" s="1157">
        <f t="shared" si="26"/>
        <v>45322</v>
      </c>
      <c r="B303" s="1158">
        <f t="shared" si="24"/>
        <v>2024</v>
      </c>
      <c r="C303" s="1326">
        <v>130</v>
      </c>
      <c r="D303" s="1326">
        <v>378</v>
      </c>
      <c r="E303" s="1159">
        <f>IF($A303&lt;DATE(2018,7,1),"-",INDEX('I1 - Universal Data'!$E$16:$V$16, MATCH(YEAR(EOMONTH($A303,6)), 'I1 - Universal Data'!$E$14:$V$14, 0)))</f>
        <v>2.1902133306788099E-2</v>
      </c>
      <c r="F303" s="1159">
        <f>IF($A303&lt;DATE(2018,7,1),"-",INDEX('I1 - Universal Data'!$E$15:$V$15, MATCH(YEAR(EOMONTH($A303,6)), 'I1 - Universal Data'!$E$14:$V$14, 0)))</f>
        <v>3.1356893625321E-2</v>
      </c>
      <c r="G303" s="1160">
        <f t="shared" si="28"/>
        <v>130</v>
      </c>
      <c r="H303" s="1160">
        <f t="shared" si="28"/>
        <v>378</v>
      </c>
      <c r="U303" s="1148"/>
    </row>
    <row r="304" spans="1:21">
      <c r="A304" s="1157">
        <f t="shared" si="26"/>
        <v>45351</v>
      </c>
      <c r="B304" s="1158">
        <f t="shared" si="24"/>
        <v>2024</v>
      </c>
      <c r="C304" s="1326">
        <v>130.80000000000001</v>
      </c>
      <c r="D304" s="1326">
        <v>381</v>
      </c>
      <c r="E304" s="1159">
        <f>IF($A304&lt;DATE(2018,7,1),"-",INDEX('I1 - Universal Data'!$E$16:$V$16, MATCH(YEAR(EOMONTH($A304,6)), 'I1 - Universal Data'!$E$14:$V$14, 0)))</f>
        <v>2.1902133306788099E-2</v>
      </c>
      <c r="F304" s="1159">
        <f>IF($A304&lt;DATE(2018,7,1),"-",INDEX('I1 - Universal Data'!$E$15:$V$15, MATCH(YEAR(EOMONTH($A304,6)), 'I1 - Universal Data'!$E$14:$V$14, 0)))</f>
        <v>3.1356893625321E-2</v>
      </c>
      <c r="G304" s="1160">
        <f t="shared" si="28"/>
        <v>130.80000000000001</v>
      </c>
      <c r="H304" s="1160">
        <f t="shared" si="28"/>
        <v>381</v>
      </c>
      <c r="U304" s="1148"/>
    </row>
    <row r="305" spans="1:21">
      <c r="A305" s="1157">
        <f t="shared" si="26"/>
        <v>45382</v>
      </c>
      <c r="B305" s="1158">
        <f t="shared" si="24"/>
        <v>2024</v>
      </c>
      <c r="C305" s="1326">
        <v>131.6</v>
      </c>
      <c r="D305" s="1326">
        <v>383</v>
      </c>
      <c r="E305" s="1159">
        <f>IF($A305&lt;DATE(2018,7,1),"-",INDEX('I1 - Universal Data'!$E$16:$V$16, MATCH(YEAR(EOMONTH($A305,6)), 'I1 - Universal Data'!$E$14:$V$14, 0)))</f>
        <v>2.1902133306788099E-2</v>
      </c>
      <c r="F305" s="1159">
        <f>IF($A305&lt;DATE(2018,7,1),"-",INDEX('I1 - Universal Data'!$E$15:$V$15, MATCH(YEAR(EOMONTH($A305,6)), 'I1 - Universal Data'!$E$14:$V$14, 0)))</f>
        <v>3.1356893625321E-2</v>
      </c>
      <c r="G305" s="1160">
        <f t="shared" si="28"/>
        <v>131.6</v>
      </c>
      <c r="H305" s="1160">
        <f t="shared" si="28"/>
        <v>383</v>
      </c>
      <c r="U305" s="1148"/>
    </row>
    <row r="306" spans="1:21">
      <c r="A306" s="1157">
        <f t="shared" si="26"/>
        <v>45412</v>
      </c>
      <c r="B306" s="1158">
        <f t="shared" si="24"/>
        <v>2025</v>
      </c>
      <c r="C306" s="1327">
        <v>132.19999999999999</v>
      </c>
      <c r="D306" s="1327">
        <v>385</v>
      </c>
      <c r="E306" s="1159">
        <f>IF($A306&lt;DATE(2018,7,1),"-",INDEX('I1 - Universal Data'!$E$16:$V$16, MATCH(YEAR(EOMONTH($A306,6)), 'I1 - Universal Data'!$E$14:$V$14, 0)))</f>
        <v>2.1902133306788099E-2</v>
      </c>
      <c r="F306" s="1159">
        <f>IF($A306&lt;DATE(2018,7,1),"-",INDEX('I1 - Universal Data'!$E$15:$V$15, MATCH(YEAR(EOMONTH($A306,6)), 'I1 - Universal Data'!$E$14:$V$14, 0)))</f>
        <v>3.1356893625321E-2</v>
      </c>
      <c r="G306" s="1160">
        <f t="shared" si="28"/>
        <v>132.19999999999999</v>
      </c>
      <c r="H306" s="1160">
        <f t="shared" si="28"/>
        <v>385</v>
      </c>
      <c r="U306" s="1148"/>
    </row>
    <row r="307" spans="1:21">
      <c r="A307" s="1157">
        <f t="shared" si="26"/>
        <v>45443</v>
      </c>
      <c r="B307" s="1158">
        <f t="shared" si="24"/>
        <v>2025</v>
      </c>
      <c r="C307" s="1327">
        <v>132.69999999999999</v>
      </c>
      <c r="D307" s="1327">
        <v>386.4</v>
      </c>
      <c r="E307" s="1159">
        <f>IF($A307&lt;DATE(2018,7,1),"-",INDEX('I1 - Universal Data'!$E$16:$V$16, MATCH(YEAR(EOMONTH($A307,6)), 'I1 - Universal Data'!$E$14:$V$14, 0)))</f>
        <v>2.1902133306788099E-2</v>
      </c>
      <c r="F307" s="1159">
        <f>IF($A307&lt;DATE(2018,7,1),"-",INDEX('I1 - Universal Data'!$E$15:$V$15, MATCH(YEAR(EOMONTH($A307,6)), 'I1 - Universal Data'!$E$14:$V$14, 0)))</f>
        <v>3.1356893625321E-2</v>
      </c>
      <c r="G307" s="1160">
        <f t="shared" si="28"/>
        <v>132.69999999999999</v>
      </c>
      <c r="H307" s="1160">
        <f t="shared" si="28"/>
        <v>386.4</v>
      </c>
      <c r="U307" s="1148"/>
    </row>
    <row r="308" spans="1:21">
      <c r="A308" s="1157">
        <f t="shared" si="26"/>
        <v>45473</v>
      </c>
      <c r="B308" s="1158">
        <f t="shared" si="24"/>
        <v>2025</v>
      </c>
      <c r="C308" s="1327">
        <v>133</v>
      </c>
      <c r="D308" s="1327">
        <v>387.3</v>
      </c>
      <c r="E308" s="1159">
        <f>IF($A308&lt;DATE(2018,7,1),"-",INDEX('I1 - Universal Data'!$E$16:$V$16, MATCH(YEAR(EOMONTH($A308,6)), 'I1 - Universal Data'!$E$14:$V$14, 0)))</f>
        <v>2.1902133306788099E-2</v>
      </c>
      <c r="F308" s="1159">
        <f>IF($A308&lt;DATE(2018,7,1),"-",INDEX('I1 - Universal Data'!$E$15:$V$15, MATCH(YEAR(EOMONTH($A308,6)), 'I1 - Universal Data'!$E$14:$V$14, 0)))</f>
        <v>3.1356893625321E-2</v>
      </c>
      <c r="G308" s="1160">
        <f t="shared" si="28"/>
        <v>133</v>
      </c>
      <c r="H308" s="1160">
        <f t="shared" si="28"/>
        <v>387.3</v>
      </c>
      <c r="U308" s="1148"/>
    </row>
    <row r="309" spans="1:21">
      <c r="A309" s="1157">
        <f t="shared" si="26"/>
        <v>45504</v>
      </c>
      <c r="B309" s="1158">
        <f t="shared" si="24"/>
        <v>2025</v>
      </c>
      <c r="C309" s="1326"/>
      <c r="D309" s="1326"/>
      <c r="E309" s="1159">
        <f>IF($A309&lt;DATE(2018,7,1),"-",INDEX('I1 - Universal Data'!$E$16:$V$16, MATCH(YEAR(EOMONTH($A309,6)), 'I1 - Universal Data'!$E$14:$V$14, 0)))</f>
        <v>1.47540195471507E-2</v>
      </c>
      <c r="F309" s="1159">
        <f>IF($A309&lt;DATE(2018,7,1),"-",INDEX('I1 - Universal Data'!$E$15:$V$15, MATCH(YEAR(EOMONTH($A309,6)), 'I1 - Universal Data'!$E$14:$V$14, 0)))</f>
        <v>2.0457266265074402E-2</v>
      </c>
      <c r="G309" s="1160">
        <f t="shared" si="28"/>
        <v>133.16242823944609</v>
      </c>
      <c r="H309" s="1160">
        <f t="shared" si="28"/>
        <v>387.95414724867669</v>
      </c>
      <c r="U309" s="1148"/>
    </row>
    <row r="310" spans="1:21">
      <c r="A310" s="1157">
        <f t="shared" si="26"/>
        <v>45535</v>
      </c>
      <c r="B310" s="1158">
        <f t="shared" si="24"/>
        <v>2025</v>
      </c>
      <c r="C310" s="1326"/>
      <c r="D310" s="1326"/>
      <c r="E310" s="1159">
        <f>IF($A310&lt;DATE(2018,7,1),"-",INDEX('I1 - Universal Data'!$E$16:$V$16, MATCH(YEAR(EOMONTH($A310,6)), 'I1 - Universal Data'!$E$14:$V$14, 0)))</f>
        <v>1.47540195471507E-2</v>
      </c>
      <c r="F310" s="1159">
        <f>IF($A310&lt;DATE(2018,7,1),"-",INDEX('I1 - Universal Data'!$E$15:$V$15, MATCH(YEAR(EOMONTH($A310,6)), 'I1 - Universal Data'!$E$14:$V$14, 0)))</f>
        <v>2.0457266265074402E-2</v>
      </c>
      <c r="G310" s="1160">
        <f t="shared" ref="G310:H325" si="29">IF(ISBLANK(C310),G309*((1+E310)^(1/12)),C310)</f>
        <v>133.32505484680925</v>
      </c>
      <c r="H310" s="1160">
        <f t="shared" si="29"/>
        <v>388.60939934791611</v>
      </c>
      <c r="U310" s="1148"/>
    </row>
    <row r="311" spans="1:21">
      <c r="A311" s="1157">
        <f t="shared" si="26"/>
        <v>45565</v>
      </c>
      <c r="B311" s="1158">
        <f t="shared" si="24"/>
        <v>2025</v>
      </c>
      <c r="C311" s="1326"/>
      <c r="D311" s="1326"/>
      <c r="E311" s="1159">
        <f>IF($A311&lt;DATE(2018,7,1),"-",INDEX('I1 - Universal Data'!$E$16:$V$16, MATCH(YEAR(EOMONTH($A311,6)), 'I1 - Universal Data'!$E$14:$V$14, 0)))</f>
        <v>1.47540195471507E-2</v>
      </c>
      <c r="F311" s="1159">
        <f>IF($A311&lt;DATE(2018,7,1),"-",INDEX('I1 - Universal Data'!$E$15:$V$15, MATCH(YEAR(EOMONTH($A311,6)), 'I1 - Universal Data'!$E$14:$V$14, 0)))</f>
        <v>2.0457266265074402E-2</v>
      </c>
      <c r="G311" s="1160">
        <f t="shared" si="29"/>
        <v>133.48788006434924</v>
      </c>
      <c r="H311" s="1160">
        <f t="shared" si="29"/>
        <v>389.26575816380387</v>
      </c>
      <c r="U311" s="1148"/>
    </row>
    <row r="312" spans="1:21">
      <c r="A312" s="1157">
        <f t="shared" si="26"/>
        <v>45596</v>
      </c>
      <c r="B312" s="1158">
        <f t="shared" si="24"/>
        <v>2025</v>
      </c>
      <c r="C312" s="1326"/>
      <c r="D312" s="1326"/>
      <c r="E312" s="1159">
        <f>IF($A312&lt;DATE(2018,7,1),"-",INDEX('I1 - Universal Data'!$E$16:$V$16, MATCH(YEAR(EOMONTH($A312,6)), 'I1 - Universal Data'!$E$14:$V$14, 0)))</f>
        <v>1.47540195471507E-2</v>
      </c>
      <c r="F312" s="1159">
        <f>IF($A312&lt;DATE(2018,7,1),"-",INDEX('I1 - Universal Data'!$E$15:$V$15, MATCH(YEAR(EOMONTH($A312,6)), 'I1 - Universal Data'!$E$14:$V$14, 0)))</f>
        <v>2.0457266265074402E-2</v>
      </c>
      <c r="G312" s="1160">
        <f t="shared" si="29"/>
        <v>133.65090413462175</v>
      </c>
      <c r="H312" s="1160">
        <f t="shared" si="29"/>
        <v>389.92322556557741</v>
      </c>
      <c r="U312" s="1148"/>
    </row>
    <row r="313" spans="1:21">
      <c r="A313" s="1157">
        <f t="shared" si="26"/>
        <v>45626</v>
      </c>
      <c r="B313" s="1158">
        <f t="shared" si="24"/>
        <v>2025</v>
      </c>
      <c r="C313" s="1326"/>
      <c r="D313" s="1326"/>
      <c r="E313" s="1159">
        <f>IF($A313&lt;DATE(2018,7,1),"-",INDEX('I1 - Universal Data'!$E$16:$V$16, MATCH(YEAR(EOMONTH($A313,6)), 'I1 - Universal Data'!$E$14:$V$14, 0)))</f>
        <v>1.47540195471507E-2</v>
      </c>
      <c r="F313" s="1159">
        <f>IF($A313&lt;DATE(2018,7,1),"-",INDEX('I1 - Universal Data'!$E$15:$V$15, MATCH(YEAR(EOMONTH($A313,6)), 'I1 - Universal Data'!$E$14:$V$14, 0)))</f>
        <v>2.0457266265074402E-2</v>
      </c>
      <c r="G313" s="1160">
        <f t="shared" si="29"/>
        <v>133.81412730047862</v>
      </c>
      <c r="H313" s="1160">
        <f t="shared" si="29"/>
        <v>390.58180342563128</v>
      </c>
      <c r="U313" s="1148"/>
    </row>
    <row r="314" spans="1:21">
      <c r="A314" s="1157">
        <f t="shared" si="26"/>
        <v>45657</v>
      </c>
      <c r="B314" s="1158">
        <f t="shared" si="24"/>
        <v>2025</v>
      </c>
      <c r="C314" s="1326"/>
      <c r="D314" s="1326"/>
      <c r="E314" s="1159">
        <f>IF($A314&lt;DATE(2018,7,1),"-",INDEX('I1 - Universal Data'!$E$16:$V$16, MATCH(YEAR(EOMONTH($A314,6)), 'I1 - Universal Data'!$E$14:$V$14, 0)))</f>
        <v>1.47540195471507E-2</v>
      </c>
      <c r="F314" s="1159">
        <f>IF($A314&lt;DATE(2018,7,1),"-",INDEX('I1 - Universal Data'!$E$15:$V$15, MATCH(YEAR(EOMONTH($A314,6)), 'I1 - Universal Data'!$E$14:$V$14, 0)))</f>
        <v>2.0457266265074402E-2</v>
      </c>
      <c r="G314" s="1160">
        <f t="shared" si="29"/>
        <v>133.97754980506832</v>
      </c>
      <c r="H314" s="1160">
        <f t="shared" si="29"/>
        <v>391.24149361952243</v>
      </c>
      <c r="U314" s="1148"/>
    </row>
    <row r="315" spans="1:21">
      <c r="A315" s="1157">
        <f t="shared" si="26"/>
        <v>45688</v>
      </c>
      <c r="B315" s="1158">
        <f t="shared" si="24"/>
        <v>2025</v>
      </c>
      <c r="C315" s="1326"/>
      <c r="D315" s="1326"/>
      <c r="E315" s="1159">
        <f>IF($A315&lt;DATE(2018,7,1),"-",INDEX('I1 - Universal Data'!$E$16:$V$16, MATCH(YEAR(EOMONTH($A315,6)), 'I1 - Universal Data'!$E$14:$V$14, 0)))</f>
        <v>1.47540195471507E-2</v>
      </c>
      <c r="F315" s="1159">
        <f>IF($A315&lt;DATE(2018,7,1),"-",INDEX('I1 - Universal Data'!$E$15:$V$15, MATCH(YEAR(EOMONTH($A315,6)), 'I1 - Universal Data'!$E$14:$V$14, 0)))</f>
        <v>2.0457266265074402E-2</v>
      </c>
      <c r="G315" s="1160">
        <f t="shared" si="29"/>
        <v>134.14117189183628</v>
      </c>
      <c r="H315" s="1160">
        <f t="shared" si="29"/>
        <v>391.90229802597571</v>
      </c>
      <c r="U315" s="1148"/>
    </row>
    <row r="316" spans="1:21">
      <c r="A316" s="1157">
        <f t="shared" si="26"/>
        <v>45716</v>
      </c>
      <c r="B316" s="1158">
        <f t="shared" si="24"/>
        <v>2025</v>
      </c>
      <c r="C316" s="1326"/>
      <c r="D316" s="1326"/>
      <c r="E316" s="1159">
        <f>IF($A316&lt;DATE(2018,7,1),"-",INDEX('I1 - Universal Data'!$E$16:$V$16, MATCH(YEAR(EOMONTH($A316,6)), 'I1 - Universal Data'!$E$14:$V$14, 0)))</f>
        <v>1.47540195471507E-2</v>
      </c>
      <c r="F316" s="1159">
        <f>IF($A316&lt;DATE(2018,7,1),"-",INDEX('I1 - Universal Data'!$E$15:$V$15, MATCH(YEAR(EOMONTH($A316,6)), 'I1 - Universal Data'!$E$14:$V$14, 0)))</f>
        <v>2.0457266265074402E-2</v>
      </c>
      <c r="G316" s="1160">
        <f t="shared" si="29"/>
        <v>134.3049938045252</v>
      </c>
      <c r="H316" s="1160">
        <f t="shared" si="29"/>
        <v>392.56421852688908</v>
      </c>
      <c r="U316" s="1148"/>
    </row>
    <row r="317" spans="1:21">
      <c r="A317" s="1157">
        <f t="shared" si="26"/>
        <v>45747</v>
      </c>
      <c r="B317" s="1158">
        <f t="shared" si="24"/>
        <v>2025</v>
      </c>
      <c r="C317" s="1326"/>
      <c r="D317" s="1326"/>
      <c r="E317" s="1159">
        <f>IF($A317&lt;DATE(2018,7,1),"-",INDEX('I1 - Universal Data'!$E$16:$V$16, MATCH(YEAR(EOMONTH($A317,6)), 'I1 - Universal Data'!$E$14:$V$14, 0)))</f>
        <v>1.47540195471507E-2</v>
      </c>
      <c r="F317" s="1159">
        <f>IF($A317&lt;DATE(2018,7,1),"-",INDEX('I1 - Universal Data'!$E$15:$V$15, MATCH(YEAR(EOMONTH($A317,6)), 'I1 - Universal Data'!$E$14:$V$14, 0)))</f>
        <v>2.0457266265074402E-2</v>
      </c>
      <c r="G317" s="1160">
        <f t="shared" si="29"/>
        <v>134.46901578717546</v>
      </c>
      <c r="H317" s="1160">
        <f t="shared" si="29"/>
        <v>393.22725700733906</v>
      </c>
      <c r="U317" s="1148"/>
    </row>
    <row r="318" spans="1:21">
      <c r="A318" s="1157">
        <f t="shared" si="26"/>
        <v>45777</v>
      </c>
      <c r="B318" s="1158">
        <f t="shared" si="24"/>
        <v>2026</v>
      </c>
      <c r="C318" s="1326"/>
      <c r="D318" s="1326"/>
      <c r="E318" s="1159">
        <f>IF($A318&lt;DATE(2018,7,1),"-",INDEX('I1 - Universal Data'!$E$16:$V$16, MATCH(YEAR(EOMONTH($A318,6)), 'I1 - Universal Data'!$E$14:$V$14, 0)))</f>
        <v>1.47540195471507E-2</v>
      </c>
      <c r="F318" s="1159">
        <f>IF($A318&lt;DATE(2018,7,1),"-",INDEX('I1 - Universal Data'!$E$15:$V$15, MATCH(YEAR(EOMONTH($A318,6)), 'I1 - Universal Data'!$E$14:$V$14, 0)))</f>
        <v>2.0457266265074402E-2</v>
      </c>
      <c r="G318" s="1160">
        <f t="shared" si="29"/>
        <v>134.63323808412554</v>
      </c>
      <c r="H318" s="1160">
        <f t="shared" si="29"/>
        <v>393.89141535558599</v>
      </c>
      <c r="U318" s="1148"/>
    </row>
    <row r="319" spans="1:21">
      <c r="A319" s="1157">
        <f t="shared" si="26"/>
        <v>45808</v>
      </c>
      <c r="B319" s="1158">
        <f t="shared" si="24"/>
        <v>2026</v>
      </c>
      <c r="C319" s="1326"/>
      <c r="D319" s="1326"/>
      <c r="E319" s="1159">
        <f>IF($A319&lt;DATE(2018,7,1),"-",INDEX('I1 - Universal Data'!$E$16:$V$16, MATCH(YEAR(EOMONTH($A319,6)), 'I1 - Universal Data'!$E$14:$V$14, 0)))</f>
        <v>1.47540195471507E-2</v>
      </c>
      <c r="F319" s="1159">
        <f>IF($A319&lt;DATE(2018,7,1),"-",INDEX('I1 - Universal Data'!$E$15:$V$15, MATCH(YEAR(EOMONTH($A319,6)), 'I1 - Universal Data'!$E$14:$V$14, 0)))</f>
        <v>2.0457266265074402E-2</v>
      </c>
      <c r="G319" s="1160">
        <f t="shared" si="29"/>
        <v>134.79766094001224</v>
      </c>
      <c r="H319" s="1160">
        <f t="shared" si="29"/>
        <v>394.55669546307945</v>
      </c>
      <c r="U319" s="1148"/>
    </row>
    <row r="320" spans="1:21">
      <c r="A320" s="1157">
        <f t="shared" si="26"/>
        <v>45838</v>
      </c>
      <c r="B320" s="1158">
        <f t="shared" si="24"/>
        <v>2026</v>
      </c>
      <c r="C320" s="1326"/>
      <c r="D320" s="1326"/>
      <c r="E320" s="1159">
        <f>IF($A320&lt;DATE(2018,7,1),"-",INDEX('I1 - Universal Data'!$E$16:$V$16, MATCH(YEAR(EOMONTH($A320,6)), 'I1 - Universal Data'!$E$14:$V$14, 0)))</f>
        <v>1.47540195471507E-2</v>
      </c>
      <c r="F320" s="1159">
        <f>IF($A320&lt;DATE(2018,7,1),"-",INDEX('I1 - Universal Data'!$E$15:$V$15, MATCH(YEAR(EOMONTH($A320,6)), 'I1 - Universal Data'!$E$14:$V$14, 0)))</f>
        <v>2.0457266265074402E-2</v>
      </c>
      <c r="G320" s="1160">
        <f t="shared" si="29"/>
        <v>134.96228459977115</v>
      </c>
      <c r="H320" s="1160">
        <f t="shared" si="29"/>
        <v>395.22309922446374</v>
      </c>
      <c r="U320" s="1148"/>
    </row>
    <row r="321" spans="1:21">
      <c r="A321" s="1157">
        <f t="shared" si="26"/>
        <v>45869</v>
      </c>
      <c r="B321" s="1158">
        <f t="shared" si="24"/>
        <v>2026</v>
      </c>
      <c r="C321" s="1326"/>
      <c r="D321" s="1326"/>
      <c r="E321" s="1159">
        <f>IF($A321&lt;DATE(2018,7,1),"-",INDEX('I1 - Universal Data'!$E$16:$V$16, MATCH(YEAR(EOMONTH($A321,6)), 'I1 - Universal Data'!$E$14:$V$14, 0)))</f>
        <v>1.62662132526732E-2</v>
      </c>
      <c r="F321" s="1159">
        <f>IF($A321&lt;DATE(2018,7,1),"-",INDEX('I1 - Universal Data'!$E$15:$V$15, MATCH(YEAR(EOMONTH($A321,6)), 'I1 - Universal Data'!$E$14:$V$14, 0)))</f>
        <v>2.4969908330546801E-2</v>
      </c>
      <c r="G321" s="1160">
        <f t="shared" si="29"/>
        <v>135.14387847366496</v>
      </c>
      <c r="H321" s="1160">
        <f t="shared" si="29"/>
        <v>396.03622518992637</v>
      </c>
      <c r="U321" s="1148"/>
    </row>
    <row r="322" spans="1:21">
      <c r="A322" s="1157">
        <f t="shared" si="26"/>
        <v>45900</v>
      </c>
      <c r="B322" s="1158">
        <f t="shared" si="24"/>
        <v>2026</v>
      </c>
      <c r="C322" s="1326"/>
      <c r="D322" s="1326"/>
      <c r="E322" s="1159">
        <f>IF($A322&lt;DATE(2018,7,1),"-",INDEX('I1 - Universal Data'!$E$16:$V$16, MATCH(YEAR(EOMONTH($A322,6)), 'I1 - Universal Data'!$E$14:$V$14, 0)))</f>
        <v>1.62662132526732E-2</v>
      </c>
      <c r="F322" s="1159">
        <f>IF($A322&lt;DATE(2018,7,1),"-",INDEX('I1 - Universal Data'!$E$15:$V$15, MATCH(YEAR(EOMONTH($A322,6)), 'I1 - Universal Data'!$E$14:$V$14, 0)))</f>
        <v>2.4969908330546801E-2</v>
      </c>
      <c r="G322" s="1160">
        <f t="shared" si="29"/>
        <v>135.32571668496854</v>
      </c>
      <c r="H322" s="1160">
        <f t="shared" si="29"/>
        <v>396.85102406832607</v>
      </c>
      <c r="U322" s="1148"/>
    </row>
    <row r="323" spans="1:21">
      <c r="A323" s="1157">
        <f t="shared" si="26"/>
        <v>45930</v>
      </c>
      <c r="B323" s="1158">
        <f t="shared" si="24"/>
        <v>2026</v>
      </c>
      <c r="C323" s="1326"/>
      <c r="D323" s="1326"/>
      <c r="E323" s="1159">
        <f>IF($A323&lt;DATE(2018,7,1),"-",INDEX('I1 - Universal Data'!$E$16:$V$16, MATCH(YEAR(EOMONTH($A323,6)), 'I1 - Universal Data'!$E$14:$V$14, 0)))</f>
        <v>1.62662132526732E-2</v>
      </c>
      <c r="F323" s="1159">
        <f>IF($A323&lt;DATE(2018,7,1),"-",INDEX('I1 - Universal Data'!$E$15:$V$15, MATCH(YEAR(EOMONTH($A323,6)), 'I1 - Universal Data'!$E$14:$V$14, 0)))</f>
        <v>2.4969908330546801E-2</v>
      </c>
      <c r="G323" s="1160">
        <f t="shared" si="29"/>
        <v>135.5077995624417</v>
      </c>
      <c r="H323" s="1160">
        <f t="shared" si="29"/>
        <v>397.66749930148831</v>
      </c>
      <c r="U323" s="1148"/>
    </row>
    <row r="324" spans="1:21">
      <c r="A324" s="1157">
        <f t="shared" si="26"/>
        <v>45961</v>
      </c>
      <c r="B324" s="1158">
        <f t="shared" si="24"/>
        <v>2026</v>
      </c>
      <c r="C324" s="1326"/>
      <c r="D324" s="1326"/>
      <c r="E324" s="1159">
        <f>IF($A324&lt;DATE(2018,7,1),"-",INDEX('I1 - Universal Data'!$E$16:$V$16, MATCH(YEAR(EOMONTH($A324,6)), 'I1 - Universal Data'!$E$14:$V$14, 0)))</f>
        <v>1.62662132526732E-2</v>
      </c>
      <c r="F324" s="1159">
        <f>IF($A324&lt;DATE(2018,7,1),"-",INDEX('I1 - Universal Data'!$E$15:$V$15, MATCH(YEAR(EOMONTH($A324,6)), 'I1 - Universal Data'!$E$14:$V$14, 0)))</f>
        <v>2.4969908330546801E-2</v>
      </c>
      <c r="G324" s="1160">
        <f t="shared" si="29"/>
        <v>135.69012743528666</v>
      </c>
      <c r="H324" s="1160">
        <f t="shared" si="29"/>
        <v>398.48565433831976</v>
      </c>
      <c r="U324" s="1148"/>
    </row>
    <row r="325" spans="1:21">
      <c r="A325" s="1157">
        <f t="shared" si="26"/>
        <v>45991</v>
      </c>
      <c r="B325" s="1158">
        <f t="shared" si="24"/>
        <v>2026</v>
      </c>
      <c r="C325" s="1326"/>
      <c r="D325" s="1326"/>
      <c r="E325" s="1159">
        <f>IF($A325&lt;DATE(2018,7,1),"-",INDEX('I1 - Universal Data'!$E$16:$V$16, MATCH(YEAR(EOMONTH($A325,6)), 'I1 - Universal Data'!$E$14:$V$14, 0)))</f>
        <v>1.62662132526732E-2</v>
      </c>
      <c r="F325" s="1159">
        <f>IF($A325&lt;DATE(2018,7,1),"-",INDEX('I1 - Universal Data'!$E$15:$V$15, MATCH(YEAR(EOMONTH($A325,6)), 'I1 - Universal Data'!$E$14:$V$14, 0)))</f>
        <v>2.4969908330546801E-2</v>
      </c>
      <c r="G325" s="1160">
        <f t="shared" si="29"/>
        <v>135.8727006331485</v>
      </c>
      <c r="H325" s="1160">
        <f t="shared" si="29"/>
        <v>399.30549263482283</v>
      </c>
      <c r="U325" s="1148"/>
    </row>
    <row r="326" spans="1:21">
      <c r="A326" s="1157">
        <f t="shared" si="26"/>
        <v>46022</v>
      </c>
      <c r="B326" s="1158">
        <f t="shared" ref="B326:B389" si="30">IF(MONTH(A326)&gt;=4,YEAR(A326)+1,YEAR(A326))</f>
        <v>2026</v>
      </c>
      <c r="C326" s="1326"/>
      <c r="D326" s="1326"/>
      <c r="E326" s="1159">
        <f>IF($A326&lt;DATE(2018,7,1),"-",INDEX('I1 - Universal Data'!$E$16:$V$16, MATCH(YEAR(EOMONTH($A326,6)), 'I1 - Universal Data'!$E$14:$V$14, 0)))</f>
        <v>1.62662132526732E-2</v>
      </c>
      <c r="F326" s="1159">
        <f>IF($A326&lt;DATE(2018,7,1),"-",INDEX('I1 - Universal Data'!$E$15:$V$15, MATCH(YEAR(EOMONTH($A326,6)), 'I1 - Universal Data'!$E$14:$V$14, 0)))</f>
        <v>2.4969908330546801E-2</v>
      </c>
      <c r="G326" s="1160">
        <f t="shared" ref="G326:H341" si="31">IF(ISBLANK(C326),G325*((1+E326)^(1/12)),C326)</f>
        <v>136.05551948611588</v>
      </c>
      <c r="H326" s="1160">
        <f t="shared" si="31"/>
        <v>400.12701765411026</v>
      </c>
      <c r="U326" s="1148"/>
    </row>
    <row r="327" spans="1:21">
      <c r="A327" s="1157">
        <f t="shared" ref="A327:A390" si="32">IF(MONTH(A326) = 12, EOMONTH(DATE(YEAR(A326) + 1, 1, 1), 0), EOMONTH(DATE(YEAR(A326), MONTH(A326) + 1, 1), 0))</f>
        <v>46053</v>
      </c>
      <c r="B327" s="1158">
        <f t="shared" si="30"/>
        <v>2026</v>
      </c>
      <c r="C327" s="1326"/>
      <c r="D327" s="1326"/>
      <c r="E327" s="1159">
        <f>IF($A327&lt;DATE(2018,7,1),"-",INDEX('I1 - Universal Data'!$E$16:$V$16, MATCH(YEAR(EOMONTH($A327,6)), 'I1 - Universal Data'!$E$14:$V$14, 0)))</f>
        <v>1.62662132526732E-2</v>
      </c>
      <c r="F327" s="1159">
        <f>IF($A327&lt;DATE(2018,7,1),"-",INDEX('I1 - Universal Data'!$E$15:$V$15, MATCH(YEAR(EOMONTH($A327,6)), 'I1 - Universal Data'!$E$14:$V$14, 0)))</f>
        <v>2.4969908330546801E-2</v>
      </c>
      <c r="G327" s="1160">
        <f t="shared" si="31"/>
        <v>136.23858432472161</v>
      </c>
      <c r="H327" s="1160">
        <f t="shared" si="31"/>
        <v>400.95023286641975</v>
      </c>
      <c r="U327" s="1148"/>
    </row>
    <row r="328" spans="1:21">
      <c r="A328" s="1157">
        <f t="shared" si="32"/>
        <v>46081</v>
      </c>
      <c r="B328" s="1158">
        <f t="shared" si="30"/>
        <v>2026</v>
      </c>
      <c r="C328" s="1326"/>
      <c r="D328" s="1326"/>
      <c r="E328" s="1159">
        <f>IF($A328&lt;DATE(2018,7,1),"-",INDEX('I1 - Universal Data'!$E$16:$V$16, MATCH(YEAR(EOMONTH($A328,6)), 'I1 - Universal Data'!$E$14:$V$14, 0)))</f>
        <v>1.62662132526732E-2</v>
      </c>
      <c r="F328" s="1159">
        <f>IF($A328&lt;DATE(2018,7,1),"-",INDEX('I1 - Universal Data'!$E$15:$V$15, MATCH(YEAR(EOMONTH($A328,6)), 'I1 - Universal Data'!$E$14:$V$14, 0)))</f>
        <v>2.4969908330546801E-2</v>
      </c>
      <c r="G328" s="1160">
        <f t="shared" si="31"/>
        <v>136.42189547994326</v>
      </c>
      <c r="H328" s="1160">
        <f t="shared" si="31"/>
        <v>401.77514174912858</v>
      </c>
      <c r="U328" s="1148"/>
    </row>
    <row r="329" spans="1:21">
      <c r="A329" s="1157">
        <f t="shared" si="32"/>
        <v>46112</v>
      </c>
      <c r="B329" s="1158">
        <f t="shared" si="30"/>
        <v>2026</v>
      </c>
      <c r="C329" s="1326"/>
      <c r="D329" s="1326"/>
      <c r="E329" s="1159">
        <f>IF($A329&lt;DATE(2018,7,1),"-",INDEX('I1 - Universal Data'!$E$16:$V$16, MATCH(YEAR(EOMONTH($A329,6)), 'I1 - Universal Data'!$E$14:$V$14, 0)))</f>
        <v>1.62662132526732E-2</v>
      </c>
      <c r="F329" s="1159">
        <f>IF($A329&lt;DATE(2018,7,1),"-",INDEX('I1 - Universal Data'!$E$15:$V$15, MATCH(YEAR(EOMONTH($A329,6)), 'I1 - Universal Data'!$E$14:$V$14, 0)))</f>
        <v>2.4969908330546801E-2</v>
      </c>
      <c r="G329" s="1160">
        <f t="shared" si="31"/>
        <v>136.60545328320367</v>
      </c>
      <c r="H329" s="1160">
        <f t="shared" si="31"/>
        <v>402.60174778676839</v>
      </c>
      <c r="U329" s="1148"/>
    </row>
    <row r="330" spans="1:21">
      <c r="A330" s="1157">
        <f t="shared" si="32"/>
        <v>46142</v>
      </c>
      <c r="B330" s="1158">
        <f t="shared" si="30"/>
        <v>2027</v>
      </c>
      <c r="C330" s="1326"/>
      <c r="D330" s="1326"/>
      <c r="E330" s="1159">
        <f>IF($A330&lt;DATE(2018,7,1),"-",INDEX('I1 - Universal Data'!$E$16:$V$16, MATCH(YEAR(EOMONTH($A330,6)), 'I1 - Universal Data'!$E$14:$V$14, 0)))</f>
        <v>1.62662132526732E-2</v>
      </c>
      <c r="F330" s="1159">
        <f>IF($A330&lt;DATE(2018,7,1),"-",INDEX('I1 - Universal Data'!$E$15:$V$15, MATCH(YEAR(EOMONTH($A330,6)), 'I1 - Universal Data'!$E$14:$V$14, 0)))</f>
        <v>2.4969908330546801E-2</v>
      </c>
      <c r="G330" s="1160">
        <f t="shared" si="31"/>
        <v>136.78925806637167</v>
      </c>
      <c r="H330" s="1160">
        <f t="shared" si="31"/>
        <v>403.43005447103974</v>
      </c>
      <c r="U330" s="1148"/>
    </row>
    <row r="331" spans="1:21">
      <c r="A331" s="1157">
        <f t="shared" si="32"/>
        <v>46173</v>
      </c>
      <c r="B331" s="1158">
        <f t="shared" si="30"/>
        <v>2027</v>
      </c>
      <c r="C331" s="1326"/>
      <c r="D331" s="1326"/>
      <c r="E331" s="1159">
        <f>IF($A331&lt;DATE(2018,7,1),"-",INDEX('I1 - Universal Data'!$E$16:$V$16, MATCH(YEAR(EOMONTH($A331,6)), 'I1 - Universal Data'!$E$14:$V$14, 0)))</f>
        <v>1.62662132526732E-2</v>
      </c>
      <c r="F331" s="1159">
        <f>IF($A331&lt;DATE(2018,7,1),"-",INDEX('I1 - Universal Data'!$E$15:$V$15, MATCH(YEAR(EOMONTH($A331,6)), 'I1 - Universal Data'!$E$14:$V$14, 0)))</f>
        <v>2.4969908330546801E-2</v>
      </c>
      <c r="G331" s="1160">
        <f t="shared" si="31"/>
        <v>136.97331016176258</v>
      </c>
      <c r="H331" s="1160">
        <f t="shared" si="31"/>
        <v>404.26006530082702</v>
      </c>
      <c r="U331" s="1148"/>
    </row>
    <row r="332" spans="1:21">
      <c r="A332" s="1157">
        <f t="shared" si="32"/>
        <v>46203</v>
      </c>
      <c r="B332" s="1158">
        <f t="shared" si="30"/>
        <v>2027</v>
      </c>
      <c r="C332" s="1326"/>
      <c r="D332" s="1326"/>
      <c r="E332" s="1159">
        <f>IF($A332&lt;DATE(2018,7,1),"-",INDEX('I1 - Universal Data'!$E$16:$V$16, MATCH(YEAR(EOMONTH($A332,6)), 'I1 - Universal Data'!$E$14:$V$14, 0)))</f>
        <v>1.62662132526732E-2</v>
      </c>
      <c r="F332" s="1159">
        <f>IF($A332&lt;DATE(2018,7,1),"-",INDEX('I1 - Universal Data'!$E$15:$V$15, MATCH(YEAR(EOMONTH($A332,6)), 'I1 - Universal Data'!$E$14:$V$14, 0)))</f>
        <v>2.4969908330546801E-2</v>
      </c>
      <c r="G332" s="1160">
        <f t="shared" si="31"/>
        <v>137.15760990213892</v>
      </c>
      <c r="H332" s="1160">
        <f t="shared" si="31"/>
        <v>405.09178378221321</v>
      </c>
      <c r="U332" s="1148"/>
    </row>
    <row r="333" spans="1:21">
      <c r="A333" s="1157">
        <f t="shared" si="32"/>
        <v>46234</v>
      </c>
      <c r="B333" s="1158">
        <f t="shared" si="30"/>
        <v>2027</v>
      </c>
      <c r="C333" s="1326"/>
      <c r="D333" s="1326"/>
      <c r="E333" s="1159">
        <f>IF($A333&lt;DATE(2018,7,1),"-",INDEX('I1 - Universal Data'!$E$16:$V$16, MATCH(YEAR(EOMONTH($A333,6)), 'I1 - Universal Data'!$E$14:$V$14, 0)))</f>
        <v>0.02</v>
      </c>
      <c r="F333" s="1159">
        <f>IF($A333&lt;DATE(2018,7,1),"-",INDEX('I1 - Universal Data'!$E$15:$V$15, MATCH(YEAR(EOMONTH($A333,6)), 'I1 - Universal Data'!$E$14:$V$14, 0)))</f>
        <v>0.03</v>
      </c>
      <c r="G333" s="1160">
        <f t="shared" si="31"/>
        <v>137.38413684606937</v>
      </c>
      <c r="H333" s="1160">
        <f t="shared" si="31"/>
        <v>406.09084940356388</v>
      </c>
      <c r="U333" s="1148"/>
    </row>
    <row r="334" spans="1:21">
      <c r="A334" s="1157">
        <f t="shared" si="32"/>
        <v>46265</v>
      </c>
      <c r="B334" s="1158">
        <f t="shared" si="30"/>
        <v>2027</v>
      </c>
      <c r="C334" s="1326"/>
      <c r="D334" s="1326"/>
      <c r="E334" s="1159">
        <f>IF($A334&lt;DATE(2018,7,1),"-",INDEX('I1 - Universal Data'!$E$16:$V$16, MATCH(YEAR(EOMONTH($A334,6)), 'I1 - Universal Data'!$E$14:$V$14, 0)))</f>
        <v>0.02</v>
      </c>
      <c r="F334" s="1159">
        <f>IF($A334&lt;DATE(2018,7,1),"-",INDEX('I1 - Universal Data'!$E$15:$V$15, MATCH(YEAR(EOMONTH($A334,6)), 'I1 - Universal Data'!$E$14:$V$14, 0)))</f>
        <v>0.03</v>
      </c>
      <c r="G334" s="1160">
        <f t="shared" si="31"/>
        <v>137.61103791766479</v>
      </c>
      <c r="H334" s="1160">
        <f t="shared" si="31"/>
        <v>407.09237899025703</v>
      </c>
      <c r="U334" s="1148"/>
    </row>
    <row r="335" spans="1:21">
      <c r="A335" s="1157">
        <f t="shared" si="32"/>
        <v>46295</v>
      </c>
      <c r="B335" s="1158">
        <f t="shared" si="30"/>
        <v>2027</v>
      </c>
      <c r="C335" s="1326"/>
      <c r="D335" s="1326"/>
      <c r="E335" s="1159">
        <f>IF($A335&lt;DATE(2018,7,1),"-",INDEX('I1 - Universal Data'!$E$16:$V$16, MATCH(YEAR(EOMONTH($A335,6)), 'I1 - Universal Data'!$E$14:$V$14, 0)))</f>
        <v>0.02</v>
      </c>
      <c r="F335" s="1159">
        <f>IF($A335&lt;DATE(2018,7,1),"-",INDEX('I1 - Universal Data'!$E$15:$V$15, MATCH(YEAR(EOMONTH($A335,6)), 'I1 - Universal Data'!$E$14:$V$14, 0)))</f>
        <v>0.03</v>
      </c>
      <c r="G335" s="1160">
        <f t="shared" si="31"/>
        <v>137.83831373482744</v>
      </c>
      <c r="H335" s="1160">
        <f t="shared" si="31"/>
        <v>408.0963786190959</v>
      </c>
      <c r="U335" s="1148"/>
    </row>
    <row r="336" spans="1:21">
      <c r="A336" s="1157">
        <f t="shared" si="32"/>
        <v>46326</v>
      </c>
      <c r="B336" s="1158">
        <f t="shared" si="30"/>
        <v>2027</v>
      </c>
      <c r="C336" s="1326"/>
      <c r="D336" s="1326"/>
      <c r="E336" s="1159">
        <f>IF($A336&lt;DATE(2018,7,1),"-",INDEX('I1 - Universal Data'!$E$16:$V$16, MATCH(YEAR(EOMONTH($A336,6)), 'I1 - Universal Data'!$E$14:$V$14, 0)))</f>
        <v>0.02</v>
      </c>
      <c r="F336" s="1159">
        <f>IF($A336&lt;DATE(2018,7,1),"-",INDEX('I1 - Universal Data'!$E$15:$V$15, MATCH(YEAR(EOMONTH($A336,6)), 'I1 - Universal Data'!$E$14:$V$14, 0)))</f>
        <v>0.03</v>
      </c>
      <c r="G336" s="1160">
        <f t="shared" si="31"/>
        <v>138.06596491648008</v>
      </c>
      <c r="H336" s="1160">
        <f t="shared" si="31"/>
        <v>409.10285438187077</v>
      </c>
      <c r="U336" s="1148"/>
    </row>
    <row r="337" spans="1:21">
      <c r="A337" s="1157">
        <f t="shared" si="32"/>
        <v>46356</v>
      </c>
      <c r="B337" s="1158">
        <f t="shared" si="30"/>
        <v>2027</v>
      </c>
      <c r="C337" s="1326"/>
      <c r="D337" s="1326"/>
      <c r="E337" s="1159">
        <f>IF($A337&lt;DATE(2018,7,1),"-",INDEX('I1 - Universal Data'!$E$16:$V$16, MATCH(YEAR(EOMONTH($A337,6)), 'I1 - Universal Data'!$E$14:$V$14, 0)))</f>
        <v>0.02</v>
      </c>
      <c r="F337" s="1159">
        <f>IF($A337&lt;DATE(2018,7,1),"-",INDEX('I1 - Universal Data'!$E$15:$V$15, MATCH(YEAR(EOMONTH($A337,6)), 'I1 - Universal Data'!$E$14:$V$14, 0)))</f>
        <v>0.03</v>
      </c>
      <c r="G337" s="1160">
        <f t="shared" si="31"/>
        <v>138.29399208256771</v>
      </c>
      <c r="H337" s="1160">
        <f t="shared" si="31"/>
        <v>410.11181238539592</v>
      </c>
      <c r="U337" s="1148"/>
    </row>
    <row r="338" spans="1:21">
      <c r="A338" s="1157">
        <f t="shared" si="32"/>
        <v>46387</v>
      </c>
      <c r="B338" s="1158">
        <f t="shared" si="30"/>
        <v>2027</v>
      </c>
      <c r="C338" s="1326"/>
      <c r="D338" s="1326"/>
      <c r="E338" s="1159">
        <f>IF($A338&lt;DATE(2018,7,1),"-",INDEX('I1 - Universal Data'!$E$16:$V$16, MATCH(YEAR(EOMONTH($A338,6)), 'I1 - Universal Data'!$E$14:$V$14, 0)))</f>
        <v>0.02</v>
      </c>
      <c r="F338" s="1159">
        <f>IF($A338&lt;DATE(2018,7,1),"-",INDEX('I1 - Universal Data'!$E$15:$V$15, MATCH(YEAR(EOMONTH($A338,6)), 'I1 - Universal Data'!$E$14:$V$14, 0)))</f>
        <v>0.03</v>
      </c>
      <c r="G338" s="1160">
        <f t="shared" si="31"/>
        <v>138.5223958540592</v>
      </c>
      <c r="H338" s="1160">
        <f t="shared" si="31"/>
        <v>411.1232587515467</v>
      </c>
      <c r="U338" s="1148"/>
    </row>
    <row r="339" spans="1:21">
      <c r="A339" s="1157">
        <f t="shared" si="32"/>
        <v>46418</v>
      </c>
      <c r="B339" s="1158">
        <f t="shared" si="30"/>
        <v>2027</v>
      </c>
      <c r="C339" s="1326"/>
      <c r="D339" s="1326"/>
      <c r="E339" s="1159">
        <f>IF($A339&lt;DATE(2018,7,1),"-",INDEX('I1 - Universal Data'!$E$16:$V$16, MATCH(YEAR(EOMONTH($A339,6)), 'I1 - Universal Data'!$E$14:$V$14, 0)))</f>
        <v>0.02</v>
      </c>
      <c r="F339" s="1159">
        <f>IF($A339&lt;DATE(2018,7,1),"-",INDEX('I1 - Universal Data'!$E$15:$V$15, MATCH(YEAR(EOMONTH($A339,6)), 'I1 - Universal Data'!$E$14:$V$14, 0)))</f>
        <v>0.03</v>
      </c>
      <c r="G339" s="1160">
        <f t="shared" si="31"/>
        <v>138.75117685294896</v>
      </c>
      <c r="H339" s="1160">
        <f t="shared" si="31"/>
        <v>412.13719961729663</v>
      </c>
    </row>
    <row r="340" spans="1:21">
      <c r="A340" s="1157">
        <f t="shared" si="32"/>
        <v>46446</v>
      </c>
      <c r="B340" s="1158">
        <f t="shared" si="30"/>
        <v>2027</v>
      </c>
      <c r="C340" s="1326"/>
      <c r="D340" s="1326"/>
      <c r="E340" s="1159">
        <f>IF($A340&lt;DATE(2018,7,1),"-",INDEX('I1 - Universal Data'!$E$16:$V$16, MATCH(YEAR(EOMONTH($A340,6)), 'I1 - Universal Data'!$E$14:$V$14, 0)))</f>
        <v>0.02</v>
      </c>
      <c r="F340" s="1159">
        <f>IF($A340&lt;DATE(2018,7,1),"-",INDEX('I1 - Universal Data'!$E$15:$V$15, MATCH(YEAR(EOMONTH($A340,6)), 'I1 - Universal Data'!$E$14:$V$14, 0)))</f>
        <v>0.03</v>
      </c>
      <c r="G340" s="1160">
        <f t="shared" si="31"/>
        <v>138.98033570225871</v>
      </c>
      <c r="H340" s="1160">
        <f t="shared" si="31"/>
        <v>413.15364113475465</v>
      </c>
    </row>
    <row r="341" spans="1:21" s="450" customFormat="1">
      <c r="A341" s="1157">
        <f t="shared" si="32"/>
        <v>46477</v>
      </c>
      <c r="B341" s="1158">
        <f t="shared" si="30"/>
        <v>2027</v>
      </c>
      <c r="C341" s="1326"/>
      <c r="D341" s="1326"/>
      <c r="E341" s="1159">
        <f>IF($A341&lt;DATE(2018,7,1),"-",INDEX('I1 - Universal Data'!$E$16:$V$16, MATCH(YEAR(EOMONTH($A341,6)), 'I1 - Universal Data'!$E$14:$V$14, 0)))</f>
        <v>0.02</v>
      </c>
      <c r="F341" s="1159">
        <f>IF($A341&lt;DATE(2018,7,1),"-",INDEX('I1 - Universal Data'!$E$15:$V$15, MATCH(YEAR(EOMONTH($A341,6)), 'I1 - Universal Data'!$E$14:$V$14, 0)))</f>
        <v>0.03</v>
      </c>
      <c r="G341" s="1160">
        <f t="shared" si="31"/>
        <v>139.20987302603916</v>
      </c>
      <c r="H341" s="1160">
        <f t="shared" si="31"/>
        <v>414.17258947120251</v>
      </c>
      <c r="T341" s="136"/>
      <c r="U341" s="449"/>
    </row>
    <row r="342" spans="1:21" s="450" customFormat="1">
      <c r="A342" s="1157">
        <f t="shared" si="32"/>
        <v>46507</v>
      </c>
      <c r="B342" s="1158">
        <f t="shared" si="30"/>
        <v>2028</v>
      </c>
      <c r="C342" s="1326"/>
      <c r="D342" s="1326"/>
      <c r="E342" s="1159">
        <f>IF($A342&lt;DATE(2018,7,1),"-",INDEX('I1 - Universal Data'!$E$16:$V$16, MATCH(YEAR(EOMONTH($A342,6)), 'I1 - Universal Data'!$E$14:$V$14, 0)))</f>
        <v>0.02</v>
      </c>
      <c r="F342" s="1159">
        <f>IF($A342&lt;DATE(2018,7,1),"-",INDEX('I1 - Universal Data'!$E$15:$V$15, MATCH(YEAR(EOMONTH($A342,6)), 'I1 - Universal Data'!$E$14:$V$14, 0)))</f>
        <v>0.03</v>
      </c>
      <c r="G342" s="1160">
        <f t="shared" ref="G342:H357" si="33">IF(ISBLANK(C342),G341*((1+E342)^(1/12)),C342)</f>
        <v>139.43978944937166</v>
      </c>
      <c r="H342" s="1160">
        <f t="shared" si="33"/>
        <v>415.19405080913208</v>
      </c>
      <c r="T342" s="136"/>
      <c r="U342" s="449"/>
    </row>
    <row r="343" spans="1:21" s="450" customFormat="1">
      <c r="A343" s="1157">
        <f t="shared" si="32"/>
        <v>46538</v>
      </c>
      <c r="B343" s="1158">
        <f t="shared" si="30"/>
        <v>2028</v>
      </c>
      <c r="C343" s="1326"/>
      <c r="D343" s="1326"/>
      <c r="E343" s="1159">
        <f>IF($A343&lt;DATE(2018,7,1),"-",INDEX('I1 - Universal Data'!$E$16:$V$16, MATCH(YEAR(EOMONTH($A343,6)), 'I1 - Universal Data'!$E$14:$V$14, 0)))</f>
        <v>0.02</v>
      </c>
      <c r="F343" s="1159">
        <f>IF($A343&lt;DATE(2018,7,1),"-",INDEX('I1 - Universal Data'!$E$15:$V$15, MATCH(YEAR(EOMONTH($A343,6)), 'I1 - Universal Data'!$E$14:$V$14, 0)))</f>
        <v>0.03</v>
      </c>
      <c r="G343" s="1160">
        <f t="shared" si="33"/>
        <v>139.67008559836992</v>
      </c>
      <c r="H343" s="1160">
        <f t="shared" si="33"/>
        <v>416.21803134628294</v>
      </c>
      <c r="T343" s="136"/>
      <c r="U343" s="449"/>
    </row>
    <row r="344" spans="1:21" s="450" customFormat="1">
      <c r="A344" s="1157">
        <f t="shared" si="32"/>
        <v>46568</v>
      </c>
      <c r="B344" s="1158">
        <f t="shared" si="30"/>
        <v>2028</v>
      </c>
      <c r="C344" s="1326"/>
      <c r="D344" s="1326"/>
      <c r="E344" s="1159">
        <f>IF($A344&lt;DATE(2018,7,1),"-",INDEX('I1 - Universal Data'!$E$16:$V$16, MATCH(YEAR(EOMONTH($A344,6)), 'I1 - Universal Data'!$E$14:$V$14, 0)))</f>
        <v>0.02</v>
      </c>
      <c r="F344" s="1159">
        <f>IF($A344&lt;DATE(2018,7,1),"-",INDEX('I1 - Universal Data'!$E$15:$V$15, MATCH(YEAR(EOMONTH($A344,6)), 'I1 - Universal Data'!$E$14:$V$14, 0)))</f>
        <v>0.03</v>
      </c>
      <c r="G344" s="1160">
        <f t="shared" si="33"/>
        <v>139.90076210018179</v>
      </c>
      <c r="H344" s="1160">
        <f t="shared" si="33"/>
        <v>417.24453729568</v>
      </c>
      <c r="T344" s="136"/>
      <c r="U344" s="449"/>
    </row>
    <row r="345" spans="1:21" s="450" customFormat="1">
      <c r="A345" s="1157">
        <f t="shared" si="32"/>
        <v>46599</v>
      </c>
      <c r="B345" s="1158">
        <f t="shared" si="30"/>
        <v>2028</v>
      </c>
      <c r="C345" s="1326"/>
      <c r="D345" s="1326"/>
      <c r="E345" s="1159">
        <f>IF($A345&lt;DATE(2018,7,1),"-",INDEX('I1 - Universal Data'!$E$16:$V$16, MATCH(YEAR(EOMONTH($A345,6)), 'I1 - Universal Data'!$E$14:$V$14, 0)))</f>
        <v>0.02</v>
      </c>
      <c r="F345" s="1159">
        <f>IF($A345&lt;DATE(2018,7,1),"-",INDEX('I1 - Universal Data'!$E$15:$V$15, MATCH(YEAR(EOMONTH($A345,6)), 'I1 - Universal Data'!$E$14:$V$14, 0)))</f>
        <v>0.03</v>
      </c>
      <c r="G345" s="1160">
        <f t="shared" si="33"/>
        <v>140.13181958299086</v>
      </c>
      <c r="H345" s="1160">
        <f t="shared" si="33"/>
        <v>418.27357488567117</v>
      </c>
      <c r="T345" s="136"/>
      <c r="U345" s="449"/>
    </row>
    <row r="346" spans="1:21" s="450" customFormat="1">
      <c r="A346" s="1157">
        <f t="shared" si="32"/>
        <v>46630</v>
      </c>
      <c r="B346" s="1158">
        <f t="shared" si="30"/>
        <v>2028</v>
      </c>
      <c r="C346" s="1326"/>
      <c r="D346" s="1326"/>
      <c r="E346" s="1159">
        <f>IF($A346&lt;DATE(2018,7,1),"-",INDEX('I1 - Universal Data'!$E$16:$V$16, MATCH(YEAR(EOMONTH($A346,6)), 'I1 - Universal Data'!$E$14:$V$14, 0)))</f>
        <v>0.02</v>
      </c>
      <c r="F346" s="1159">
        <f>IF($A346&lt;DATE(2018,7,1),"-",INDEX('I1 - Universal Data'!$E$15:$V$15, MATCH(YEAR(EOMONTH($A346,6)), 'I1 - Universal Data'!$E$14:$V$14, 0)))</f>
        <v>0.03</v>
      </c>
      <c r="G346" s="1160">
        <f t="shared" si="33"/>
        <v>140.36325867601818</v>
      </c>
      <c r="H346" s="1160">
        <f t="shared" si="33"/>
        <v>419.30515035996513</v>
      </c>
      <c r="T346" s="136"/>
      <c r="U346" s="449"/>
    </row>
    <row r="347" spans="1:21" s="450" customFormat="1">
      <c r="A347" s="1157">
        <f t="shared" si="32"/>
        <v>46660</v>
      </c>
      <c r="B347" s="1158">
        <f t="shared" si="30"/>
        <v>2028</v>
      </c>
      <c r="C347" s="1326"/>
      <c r="D347" s="1326"/>
      <c r="E347" s="1159">
        <f>IF($A347&lt;DATE(2018,7,1),"-",INDEX('I1 - Universal Data'!$E$16:$V$16, MATCH(YEAR(EOMONTH($A347,6)), 'I1 - Universal Data'!$E$14:$V$14, 0)))</f>
        <v>0.02</v>
      </c>
      <c r="F347" s="1159">
        <f>IF($A347&lt;DATE(2018,7,1),"-",INDEX('I1 - Universal Data'!$E$15:$V$15, MATCH(YEAR(EOMONTH($A347,6)), 'I1 - Universal Data'!$E$14:$V$14, 0)))</f>
        <v>0.03</v>
      </c>
      <c r="G347" s="1160">
        <f t="shared" si="33"/>
        <v>140.59508000952408</v>
      </c>
      <c r="H347" s="1160">
        <f t="shared" si="33"/>
        <v>420.33926997766918</v>
      </c>
      <c r="T347" s="136"/>
      <c r="U347" s="449"/>
    </row>
    <row r="348" spans="1:21" s="450" customFormat="1">
      <c r="A348" s="1157">
        <f t="shared" si="32"/>
        <v>46691</v>
      </c>
      <c r="B348" s="1158">
        <f t="shared" si="30"/>
        <v>2028</v>
      </c>
      <c r="C348" s="1326"/>
      <c r="D348" s="1326"/>
      <c r="E348" s="1159">
        <f>IF($A348&lt;DATE(2018,7,1),"-",INDEX('I1 - Universal Data'!$E$16:$V$16, MATCH(YEAR(EOMONTH($A348,6)), 'I1 - Universal Data'!$E$14:$V$14, 0)))</f>
        <v>0.02</v>
      </c>
      <c r="F348" s="1159">
        <f>IF($A348&lt;DATE(2018,7,1),"-",INDEX('I1 - Universal Data'!$E$15:$V$15, MATCH(YEAR(EOMONTH($A348,6)), 'I1 - Universal Data'!$E$14:$V$14, 0)))</f>
        <v>0.03</v>
      </c>
      <c r="G348" s="1160">
        <f t="shared" si="33"/>
        <v>140.82728421480979</v>
      </c>
      <c r="H348" s="1160">
        <f t="shared" si="33"/>
        <v>421.37594001332729</v>
      </c>
      <c r="T348" s="136"/>
      <c r="U348" s="449"/>
    </row>
    <row r="349" spans="1:21" s="450" customFormat="1">
      <c r="A349" s="1157">
        <f t="shared" si="32"/>
        <v>46721</v>
      </c>
      <c r="B349" s="1158">
        <f t="shared" si="30"/>
        <v>2028</v>
      </c>
      <c r="C349" s="1326"/>
      <c r="D349" s="1326"/>
      <c r="E349" s="1159">
        <f>IF($A349&lt;DATE(2018,7,1),"-",INDEX('I1 - Universal Data'!$E$16:$V$16, MATCH(YEAR(EOMONTH($A349,6)), 'I1 - Universal Data'!$E$14:$V$14, 0)))</f>
        <v>0.02</v>
      </c>
      <c r="F349" s="1159">
        <f>IF($A349&lt;DATE(2018,7,1),"-",INDEX('I1 - Universal Data'!$E$15:$V$15, MATCH(YEAR(EOMONTH($A349,6)), 'I1 - Universal Data'!$E$14:$V$14, 0)))</f>
        <v>0.03</v>
      </c>
      <c r="G349" s="1160">
        <f t="shared" si="33"/>
        <v>141.05987192421918</v>
      </c>
      <c r="H349" s="1160">
        <f t="shared" si="33"/>
        <v>422.41516675695823</v>
      </c>
      <c r="T349" s="136"/>
      <c r="U349" s="449"/>
    </row>
    <row r="350" spans="1:21" s="450" customFormat="1">
      <c r="A350" s="1157">
        <f t="shared" si="32"/>
        <v>46752</v>
      </c>
      <c r="B350" s="1158">
        <f t="shared" si="30"/>
        <v>2028</v>
      </c>
      <c r="C350" s="1326"/>
      <c r="D350" s="1326"/>
      <c r="E350" s="1159">
        <f>IF($A350&lt;DATE(2018,7,1),"-",INDEX('I1 - Universal Data'!$E$16:$V$16, MATCH(YEAR(EOMONTH($A350,6)), 'I1 - Universal Data'!$E$14:$V$14, 0)))</f>
        <v>0.02</v>
      </c>
      <c r="F350" s="1159">
        <f>IF($A350&lt;DATE(2018,7,1),"-",INDEX('I1 - Universal Data'!$E$15:$V$15, MATCH(YEAR(EOMONTH($A350,6)), 'I1 - Universal Data'!$E$14:$V$14, 0)))</f>
        <v>0.03</v>
      </c>
      <c r="G350" s="1160">
        <f t="shared" si="33"/>
        <v>141.29284377114047</v>
      </c>
      <c r="H350" s="1160">
        <f t="shared" si="33"/>
        <v>423.45695651409352</v>
      </c>
      <c r="T350" s="136"/>
      <c r="U350" s="449"/>
    </row>
    <row r="351" spans="1:21" s="450" customFormat="1">
      <c r="A351" s="1157">
        <f t="shared" si="32"/>
        <v>46783</v>
      </c>
      <c r="B351" s="1158">
        <f t="shared" si="30"/>
        <v>2028</v>
      </c>
      <c r="C351" s="1326"/>
      <c r="D351" s="1326"/>
      <c r="E351" s="1159">
        <f>IF($A351&lt;DATE(2018,7,1),"-",INDEX('I1 - Universal Data'!$E$16:$V$16, MATCH(YEAR(EOMONTH($A351,6)), 'I1 - Universal Data'!$E$14:$V$14, 0)))</f>
        <v>0.02</v>
      </c>
      <c r="F351" s="1159">
        <f>IF($A351&lt;DATE(2018,7,1),"-",INDEX('I1 - Universal Data'!$E$15:$V$15, MATCH(YEAR(EOMONTH($A351,6)), 'I1 - Universal Data'!$E$14:$V$14, 0)))</f>
        <v>0.03</v>
      </c>
      <c r="G351" s="1160">
        <f t="shared" si="33"/>
        <v>141.52620039000803</v>
      </c>
      <c r="H351" s="1160">
        <f t="shared" si="33"/>
        <v>424.50131560581593</v>
      </c>
      <c r="T351" s="136"/>
      <c r="U351" s="449"/>
    </row>
    <row r="352" spans="1:21" s="450" customFormat="1">
      <c r="A352" s="1157">
        <f t="shared" si="32"/>
        <v>46812</v>
      </c>
      <c r="B352" s="1158">
        <f t="shared" si="30"/>
        <v>2028</v>
      </c>
      <c r="C352" s="1326"/>
      <c r="D352" s="1326"/>
      <c r="E352" s="1159">
        <f>IF($A352&lt;DATE(2018,7,1),"-",INDEX('I1 - Universal Data'!$E$16:$V$16, MATCH(YEAR(EOMONTH($A352,6)), 'I1 - Universal Data'!$E$14:$V$14, 0)))</f>
        <v>0.02</v>
      </c>
      <c r="F352" s="1159">
        <f>IF($A352&lt;DATE(2018,7,1),"-",INDEX('I1 - Universal Data'!$E$15:$V$15, MATCH(YEAR(EOMONTH($A352,6)), 'I1 - Universal Data'!$E$14:$V$14, 0)))</f>
        <v>0.03</v>
      </c>
      <c r="G352" s="1160">
        <f t="shared" si="33"/>
        <v>141.75994241630397</v>
      </c>
      <c r="H352" s="1160">
        <f t="shared" si="33"/>
        <v>425.54825036879771</v>
      </c>
      <c r="T352" s="136"/>
      <c r="U352" s="449"/>
    </row>
    <row r="353" spans="1:21" s="450" customFormat="1">
      <c r="A353" s="1157">
        <f t="shared" si="32"/>
        <v>46843</v>
      </c>
      <c r="B353" s="1158">
        <f t="shared" si="30"/>
        <v>2028</v>
      </c>
      <c r="C353" s="1326"/>
      <c r="D353" s="1326"/>
      <c r="E353" s="1159">
        <f>IF($A353&lt;DATE(2018,7,1),"-",INDEX('I1 - Universal Data'!$E$16:$V$16, MATCH(YEAR(EOMONTH($A353,6)), 'I1 - Universal Data'!$E$14:$V$14, 0)))</f>
        <v>0.02</v>
      </c>
      <c r="F353" s="1159">
        <f>IF($A353&lt;DATE(2018,7,1),"-",INDEX('I1 - Universal Data'!$E$15:$V$15, MATCH(YEAR(EOMONTH($A353,6)), 'I1 - Universal Data'!$E$14:$V$14, 0)))</f>
        <v>0.03</v>
      </c>
      <c r="G353" s="1160">
        <f t="shared" si="33"/>
        <v>141.99407048656002</v>
      </c>
      <c r="H353" s="1160">
        <f t="shared" si="33"/>
        <v>426.597767155339</v>
      </c>
      <c r="T353" s="136"/>
      <c r="U353" s="449"/>
    </row>
    <row r="354" spans="1:21" s="450" customFormat="1">
      <c r="A354" s="1157">
        <f t="shared" si="32"/>
        <v>46873</v>
      </c>
      <c r="B354" s="1158">
        <f t="shared" si="30"/>
        <v>2029</v>
      </c>
      <c r="C354" s="1326"/>
      <c r="D354" s="1326"/>
      <c r="E354" s="1159">
        <f>IF($A354&lt;DATE(2018,7,1),"-",INDEX('I1 - Universal Data'!$E$16:$V$16, MATCH(YEAR(EOMONTH($A354,6)), 'I1 - Universal Data'!$E$14:$V$14, 0)))</f>
        <v>0.02</v>
      </c>
      <c r="F354" s="1159">
        <f>IF($A354&lt;DATE(2018,7,1),"-",INDEX('I1 - Universal Data'!$E$15:$V$15, MATCH(YEAR(EOMONTH($A354,6)), 'I1 - Universal Data'!$E$14:$V$14, 0)))</f>
        <v>0.03</v>
      </c>
      <c r="G354" s="1160">
        <f t="shared" si="33"/>
        <v>142.22858523835916</v>
      </c>
      <c r="H354" s="1160">
        <f t="shared" si="33"/>
        <v>427.64987233340645</v>
      </c>
      <c r="T354" s="136"/>
      <c r="U354" s="449"/>
    </row>
    <row r="355" spans="1:21" s="450" customFormat="1">
      <c r="A355" s="1157">
        <f t="shared" si="32"/>
        <v>46904</v>
      </c>
      <c r="B355" s="1158">
        <f t="shared" si="30"/>
        <v>2029</v>
      </c>
      <c r="C355" s="1326"/>
      <c r="D355" s="1326"/>
      <c r="E355" s="1159">
        <f>IF($A355&lt;DATE(2018,7,1),"-",INDEX('I1 - Universal Data'!$E$16:$V$16, MATCH(YEAR(EOMONTH($A355,6)), 'I1 - Universal Data'!$E$14:$V$14, 0)))</f>
        <v>0.02</v>
      </c>
      <c r="F355" s="1159">
        <f>IF($A355&lt;DATE(2018,7,1),"-",INDEX('I1 - Universal Data'!$E$15:$V$15, MATCH(YEAR(EOMONTH($A355,6)), 'I1 - Universal Data'!$E$14:$V$14, 0)))</f>
        <v>0.03</v>
      </c>
      <c r="G355" s="1160">
        <f t="shared" si="33"/>
        <v>142.4634873103374</v>
      </c>
      <c r="H355" s="1160">
        <f t="shared" si="33"/>
        <v>428.70457228667186</v>
      </c>
      <c r="T355" s="136"/>
      <c r="U355" s="449"/>
    </row>
    <row r="356" spans="1:21" s="450" customFormat="1">
      <c r="A356" s="1157">
        <f t="shared" si="32"/>
        <v>46934</v>
      </c>
      <c r="B356" s="1158">
        <f t="shared" si="30"/>
        <v>2029</v>
      </c>
      <c r="C356" s="1326"/>
      <c r="D356" s="1326"/>
      <c r="E356" s="1159">
        <f>IF($A356&lt;DATE(2018,7,1),"-",INDEX('I1 - Universal Data'!$E$16:$V$16, MATCH(YEAR(EOMONTH($A356,6)), 'I1 - Universal Data'!$E$14:$V$14, 0)))</f>
        <v>0.02</v>
      </c>
      <c r="F356" s="1159">
        <f>IF($A356&lt;DATE(2018,7,1),"-",INDEX('I1 - Universal Data'!$E$15:$V$15, MATCH(YEAR(EOMONTH($A356,6)), 'I1 - Universal Data'!$E$14:$V$14, 0)))</f>
        <v>0.03</v>
      </c>
      <c r="G356" s="1160">
        <f t="shared" si="33"/>
        <v>142.69877734218551</v>
      </c>
      <c r="H356" s="1160">
        <f t="shared" si="33"/>
        <v>429.76187341455085</v>
      </c>
      <c r="T356" s="136"/>
      <c r="U356" s="449"/>
    </row>
    <row r="357" spans="1:21">
      <c r="A357" s="1157">
        <f t="shared" si="32"/>
        <v>46965</v>
      </c>
      <c r="B357" s="1158">
        <f t="shared" si="30"/>
        <v>2029</v>
      </c>
      <c r="C357" s="1326"/>
      <c r="D357" s="1326"/>
      <c r="E357" s="1159">
        <f>IF($A357&lt;DATE(2018,7,1),"-",INDEX('I1 - Universal Data'!$E$16:$V$16, MATCH(YEAR(EOMONTH($A357,6)), 'I1 - Universal Data'!$E$14:$V$14, 0)))</f>
        <v>0.02</v>
      </c>
      <c r="F357" s="1159">
        <f>IF($A357&lt;DATE(2018,7,1),"-",INDEX('I1 - Universal Data'!$E$15:$V$15, MATCH(YEAR(EOMONTH($A357,6)), 'I1 - Universal Data'!$E$14:$V$14, 0)))</f>
        <v>0.03</v>
      </c>
      <c r="G357" s="1160">
        <f t="shared" si="33"/>
        <v>142.93445597465075</v>
      </c>
      <c r="H357" s="1160">
        <f t="shared" si="33"/>
        <v>430.82178213224176</v>
      </c>
    </row>
    <row r="358" spans="1:21">
      <c r="A358" s="1157">
        <f t="shared" si="32"/>
        <v>46996</v>
      </c>
      <c r="B358" s="1158">
        <f t="shared" si="30"/>
        <v>2029</v>
      </c>
      <c r="C358" s="1326"/>
      <c r="D358" s="1326"/>
      <c r="E358" s="1159">
        <f>IF($A358&lt;DATE(2018,7,1),"-",INDEX('I1 - Universal Data'!$E$16:$V$16, MATCH(YEAR(EOMONTH($A358,6)), 'I1 - Universal Data'!$E$14:$V$14, 0)))</f>
        <v>0.02</v>
      </c>
      <c r="F358" s="1159">
        <f>IF($A358&lt;DATE(2018,7,1),"-",INDEX('I1 - Universal Data'!$E$15:$V$15, MATCH(YEAR(EOMONTH($A358,6)), 'I1 - Universal Data'!$E$14:$V$14, 0)))</f>
        <v>0.03</v>
      </c>
      <c r="G358" s="1160">
        <f t="shared" ref="G358:H373" si="34">IF(ISBLANK(C358),G357*((1+E358)^(1/12)),C358)</f>
        <v>143.17052384953863</v>
      </c>
      <c r="H358" s="1160">
        <f t="shared" si="34"/>
        <v>431.88430487076454</v>
      </c>
    </row>
    <row r="359" spans="1:21">
      <c r="A359" s="1157">
        <f t="shared" si="32"/>
        <v>47026</v>
      </c>
      <c r="B359" s="1158">
        <f t="shared" si="30"/>
        <v>2029</v>
      </c>
      <c r="C359" s="1326"/>
      <c r="D359" s="1326"/>
      <c r="E359" s="1159">
        <f>IF($A359&lt;DATE(2018,7,1),"-",INDEX('I1 - Universal Data'!$E$16:$V$16, MATCH(YEAR(EOMONTH($A359,6)), 'I1 - Universal Data'!$E$14:$V$14, 0)))</f>
        <v>0.02</v>
      </c>
      <c r="F359" s="1159">
        <f>IF($A359&lt;DATE(2018,7,1),"-",INDEX('I1 - Universal Data'!$E$15:$V$15, MATCH(YEAR(EOMONTH($A359,6)), 'I1 - Universal Data'!$E$14:$V$14, 0)))</f>
        <v>0.03</v>
      </c>
      <c r="G359" s="1160">
        <f t="shared" si="34"/>
        <v>143.40698160971465</v>
      </c>
      <c r="H359" s="1160">
        <f t="shared" si="34"/>
        <v>432.94944807699972</v>
      </c>
    </row>
    <row r="360" spans="1:21">
      <c r="A360" s="1157">
        <f t="shared" si="32"/>
        <v>47057</v>
      </c>
      <c r="B360" s="1158">
        <f t="shared" si="30"/>
        <v>2029</v>
      </c>
      <c r="C360" s="1326"/>
      <c r="D360" s="1326"/>
      <c r="E360" s="1159">
        <f>IF($A360&lt;DATE(2018,7,1),"-",INDEX('I1 - Universal Data'!$E$16:$V$16, MATCH(YEAR(EOMONTH($A360,6)), 'I1 - Universal Data'!$E$14:$V$14, 0)))</f>
        <v>0.02</v>
      </c>
      <c r="F360" s="1159">
        <f>IF($A360&lt;DATE(2018,7,1),"-",INDEX('I1 - Universal Data'!$E$15:$V$15, MATCH(YEAR(EOMONTH($A360,6)), 'I1 - Universal Data'!$E$14:$V$14, 0)))</f>
        <v>0.03</v>
      </c>
      <c r="G360" s="1160">
        <f t="shared" si="34"/>
        <v>143.64382989910607</v>
      </c>
      <c r="H360" s="1160">
        <f t="shared" si="34"/>
        <v>434.01721821372757</v>
      </c>
    </row>
    <row r="361" spans="1:21">
      <c r="A361" s="1157">
        <f t="shared" si="32"/>
        <v>47087</v>
      </c>
      <c r="B361" s="1158">
        <f t="shared" si="30"/>
        <v>2029</v>
      </c>
      <c r="C361" s="1326"/>
      <c r="D361" s="1326"/>
      <c r="E361" s="1159">
        <f>IF($A361&lt;DATE(2018,7,1),"-",INDEX('I1 - Universal Data'!$E$16:$V$16, MATCH(YEAR(EOMONTH($A361,6)), 'I1 - Universal Data'!$E$14:$V$14, 0)))</f>
        <v>0.02</v>
      </c>
      <c r="F361" s="1159">
        <f>IF($A361&lt;DATE(2018,7,1),"-",INDEX('I1 - Universal Data'!$E$15:$V$15, MATCH(YEAR(EOMONTH($A361,6)), 'I1 - Universal Data'!$E$14:$V$14, 0)))</f>
        <v>0.03</v>
      </c>
      <c r="G361" s="1160">
        <f t="shared" si="34"/>
        <v>143.88106936270364</v>
      </c>
      <c r="H361" s="1160">
        <f t="shared" si="34"/>
        <v>435.0876217596674</v>
      </c>
    </row>
    <row r="362" spans="1:21">
      <c r="A362" s="1157">
        <f t="shared" si="32"/>
        <v>47118</v>
      </c>
      <c r="B362" s="1158">
        <f t="shared" si="30"/>
        <v>2029</v>
      </c>
      <c r="C362" s="1326"/>
      <c r="D362" s="1326"/>
      <c r="E362" s="1159">
        <f>IF($A362&lt;DATE(2018,7,1),"-",INDEX('I1 - Universal Data'!$E$16:$V$16, MATCH(YEAR(EOMONTH($A362,6)), 'I1 - Universal Data'!$E$14:$V$14, 0)))</f>
        <v>0.02</v>
      </c>
      <c r="F362" s="1159">
        <f>IF($A362&lt;DATE(2018,7,1),"-",INDEX('I1 - Universal Data'!$E$15:$V$15, MATCH(YEAR(EOMONTH($A362,6)), 'I1 - Universal Data'!$E$14:$V$14, 0)))</f>
        <v>0.03</v>
      </c>
      <c r="G362" s="1160">
        <f t="shared" si="34"/>
        <v>144.11870064656338</v>
      </c>
      <c r="H362" s="1160">
        <f t="shared" si="34"/>
        <v>436.16066520951676</v>
      </c>
    </row>
    <row r="363" spans="1:21">
      <c r="A363" s="1157">
        <f t="shared" si="32"/>
        <v>47149</v>
      </c>
      <c r="B363" s="1158">
        <f t="shared" si="30"/>
        <v>2029</v>
      </c>
      <c r="C363" s="1326"/>
      <c r="D363" s="1326"/>
      <c r="E363" s="1159">
        <f>IF($A363&lt;DATE(2018,7,1),"-",INDEX('I1 - Universal Data'!$E$16:$V$16, MATCH(YEAR(EOMONTH($A363,6)), 'I1 - Universal Data'!$E$14:$V$14, 0)))</f>
        <v>0.02</v>
      </c>
      <c r="F363" s="1159">
        <f>IF($A363&lt;DATE(2018,7,1),"-",INDEX('I1 - Universal Data'!$E$15:$V$15, MATCH(YEAR(EOMONTH($A363,6)), 'I1 - Universal Data'!$E$14:$V$14, 0)))</f>
        <v>0.03</v>
      </c>
      <c r="G363" s="1160">
        <f t="shared" si="34"/>
        <v>144.35672439780828</v>
      </c>
      <c r="H363" s="1160">
        <f t="shared" si="34"/>
        <v>437.23635507399086</v>
      </c>
    </row>
    <row r="364" spans="1:21">
      <c r="A364" s="1157">
        <f t="shared" si="32"/>
        <v>47177</v>
      </c>
      <c r="B364" s="1158">
        <f t="shared" si="30"/>
        <v>2029</v>
      </c>
      <c r="C364" s="1326"/>
      <c r="D364" s="1326"/>
      <c r="E364" s="1159">
        <f>IF($A364&lt;DATE(2018,7,1),"-",INDEX('I1 - Universal Data'!$E$16:$V$16, MATCH(YEAR(EOMONTH($A364,6)), 'I1 - Universal Data'!$E$14:$V$14, 0)))</f>
        <v>0.02</v>
      </c>
      <c r="F364" s="1159">
        <f>IF($A364&lt;DATE(2018,7,1),"-",INDEX('I1 - Universal Data'!$E$15:$V$15, MATCH(YEAR(EOMONTH($A364,6)), 'I1 - Universal Data'!$E$14:$V$14, 0)))</f>
        <v>0.03</v>
      </c>
      <c r="G364" s="1160">
        <f t="shared" si="34"/>
        <v>144.59514126463014</v>
      </c>
      <c r="H364" s="1160">
        <f t="shared" si="34"/>
        <v>438.31469787986208</v>
      </c>
    </row>
    <row r="365" spans="1:21">
      <c r="A365" s="1157">
        <f t="shared" si="32"/>
        <v>47208</v>
      </c>
      <c r="B365" s="1158">
        <f t="shared" si="30"/>
        <v>2029</v>
      </c>
      <c r="C365" s="1326"/>
      <c r="D365" s="1326"/>
      <c r="E365" s="1159">
        <f>IF($A365&lt;DATE(2018,7,1),"-",INDEX('I1 - Universal Data'!$E$16:$V$16, MATCH(YEAR(EOMONTH($A365,6)), 'I1 - Universal Data'!$E$14:$V$14, 0)))</f>
        <v>0.02</v>
      </c>
      <c r="F365" s="1159">
        <f>IF($A365&lt;DATE(2018,7,1),"-",INDEX('I1 - Universal Data'!$E$15:$V$15, MATCH(YEAR(EOMONTH($A365,6)), 'I1 - Universal Data'!$E$14:$V$14, 0)))</f>
        <v>0.03</v>
      </c>
      <c r="G365" s="1160">
        <f t="shared" si="34"/>
        <v>144.83395189629132</v>
      </c>
      <c r="H365" s="1160">
        <f t="shared" si="34"/>
        <v>439.3957001699996</v>
      </c>
    </row>
    <row r="366" spans="1:21">
      <c r="A366" s="1157">
        <f t="shared" si="32"/>
        <v>47238</v>
      </c>
      <c r="B366" s="1158">
        <f t="shared" si="30"/>
        <v>2030</v>
      </c>
      <c r="C366" s="1326"/>
      <c r="D366" s="1326"/>
      <c r="E366" s="1159">
        <f>IF($A366&lt;DATE(2018,7,1),"-",INDEX('I1 - Universal Data'!$E$16:$V$16, MATCH(YEAR(EOMONTH($A366,6)), 'I1 - Universal Data'!$E$14:$V$14, 0)))</f>
        <v>0.02</v>
      </c>
      <c r="F366" s="1159">
        <f>IF($A366&lt;DATE(2018,7,1),"-",INDEX('I1 - Universal Data'!$E$15:$V$15, MATCH(YEAR(EOMONTH($A366,6)), 'I1 - Universal Data'!$E$14:$V$14, 0)))</f>
        <v>0.03</v>
      </c>
      <c r="G366" s="1160">
        <f t="shared" si="34"/>
        <v>145.07315694312646</v>
      </c>
      <c r="H366" s="1160">
        <f t="shared" si="34"/>
        <v>440.47936850340909</v>
      </c>
    </row>
    <row r="367" spans="1:21">
      <c r="A367" s="1157">
        <f t="shared" si="32"/>
        <v>47269</v>
      </c>
      <c r="B367" s="1158">
        <f t="shared" si="30"/>
        <v>2030</v>
      </c>
      <c r="C367" s="1326"/>
      <c r="D367" s="1326"/>
      <c r="E367" s="1159">
        <f>IF($A367&lt;DATE(2018,7,1),"-",INDEX('I1 - Universal Data'!$E$16:$V$16, MATCH(YEAR(EOMONTH($A367,6)), 'I1 - Universal Data'!$E$14:$V$14, 0)))</f>
        <v>0.02</v>
      </c>
      <c r="F367" s="1159">
        <f>IF($A367&lt;DATE(2018,7,1),"-",INDEX('I1 - Universal Data'!$E$15:$V$15, MATCH(YEAR(EOMONTH($A367,6)), 'I1 - Universal Data'!$E$14:$V$14, 0)))</f>
        <v>0.03</v>
      </c>
      <c r="G367" s="1160">
        <f t="shared" si="34"/>
        <v>145.31275705654426</v>
      </c>
      <c r="H367" s="1160">
        <f t="shared" si="34"/>
        <v>441.56570945527244</v>
      </c>
    </row>
    <row r="368" spans="1:21">
      <c r="A368" s="1157">
        <f t="shared" si="32"/>
        <v>47299</v>
      </c>
      <c r="B368" s="1158">
        <f t="shared" si="30"/>
        <v>2030</v>
      </c>
      <c r="C368" s="1326"/>
      <c r="D368" s="1326"/>
      <c r="E368" s="1159">
        <f>IF($A368&lt;DATE(2018,7,1),"-",INDEX('I1 - Universal Data'!$E$16:$V$16, MATCH(YEAR(EOMONTH($A368,6)), 'I1 - Universal Data'!$E$14:$V$14, 0)))</f>
        <v>0.02</v>
      </c>
      <c r="F368" s="1159">
        <f>IF($A368&lt;DATE(2018,7,1),"-",INDEX('I1 - Universal Data'!$E$15:$V$15, MATCH(YEAR(EOMONTH($A368,6)), 'I1 - Universal Data'!$E$14:$V$14, 0)))</f>
        <v>0.03</v>
      </c>
      <c r="G368" s="1160">
        <f t="shared" si="34"/>
        <v>145.55275288902934</v>
      </c>
      <c r="H368" s="1160">
        <f t="shared" si="34"/>
        <v>442.65472961698782</v>
      </c>
    </row>
    <row r="369" spans="1:8">
      <c r="A369" s="1157">
        <f t="shared" si="32"/>
        <v>47330</v>
      </c>
      <c r="B369" s="1158">
        <f t="shared" si="30"/>
        <v>2030</v>
      </c>
      <c r="C369" s="1326"/>
      <c r="D369" s="1326"/>
      <c r="E369" s="1159">
        <f>IF($A369&lt;DATE(2018,7,1),"-",INDEX('I1 - Universal Data'!$E$16:$V$16, MATCH(YEAR(EOMONTH($A369,6)), 'I1 - Universal Data'!$E$14:$V$14, 0)))</f>
        <v>0.02</v>
      </c>
      <c r="F369" s="1159">
        <f>IF($A369&lt;DATE(2018,7,1),"-",INDEX('I1 - Universal Data'!$E$15:$V$15, MATCH(YEAR(EOMONTH($A369,6)), 'I1 - Universal Data'!$E$14:$V$14, 0)))</f>
        <v>0.03</v>
      </c>
      <c r="G369" s="1160">
        <f t="shared" si="34"/>
        <v>145.79314509414388</v>
      </c>
      <c r="H369" s="1160">
        <f t="shared" si="34"/>
        <v>443.74643559620944</v>
      </c>
    </row>
    <row r="370" spans="1:8">
      <c r="A370" s="1157">
        <f t="shared" si="32"/>
        <v>47361</v>
      </c>
      <c r="B370" s="1158">
        <f t="shared" si="30"/>
        <v>2030</v>
      </c>
      <c r="C370" s="1326"/>
      <c r="D370" s="1326"/>
      <c r="E370" s="1159">
        <f>IF($A370&lt;DATE(2018,7,1),"-",INDEX('I1 - Universal Data'!$E$16:$V$16, MATCH(YEAR(EOMONTH($A370,6)), 'I1 - Universal Data'!$E$14:$V$14, 0)))</f>
        <v>0.02</v>
      </c>
      <c r="F370" s="1159">
        <f>IF($A370&lt;DATE(2018,7,1),"-",INDEX('I1 - Universal Data'!$E$15:$V$15, MATCH(YEAR(EOMONTH($A370,6)), 'I1 - Universal Data'!$E$14:$V$14, 0)))</f>
        <v>0.03</v>
      </c>
      <c r="G370" s="1160">
        <f t="shared" si="34"/>
        <v>146.0339343265295</v>
      </c>
      <c r="H370" s="1160">
        <f t="shared" si="34"/>
        <v>444.84083401688787</v>
      </c>
    </row>
    <row r="371" spans="1:8">
      <c r="A371" s="1157">
        <f t="shared" si="32"/>
        <v>47391</v>
      </c>
      <c r="B371" s="1158">
        <f t="shared" si="30"/>
        <v>2030</v>
      </c>
      <c r="C371" s="1326"/>
      <c r="D371" s="1326"/>
      <c r="E371" s="1159">
        <f>IF($A371&lt;DATE(2018,7,1),"-",INDEX('I1 - Universal Data'!$E$16:$V$16, MATCH(YEAR(EOMONTH($A371,6)), 'I1 - Universal Data'!$E$14:$V$14, 0)))</f>
        <v>0.02</v>
      </c>
      <c r="F371" s="1159">
        <f>IF($A371&lt;DATE(2018,7,1),"-",INDEX('I1 - Universal Data'!$E$15:$V$15, MATCH(YEAR(EOMONTH($A371,6)), 'I1 - Universal Data'!$E$14:$V$14, 0)))</f>
        <v>0.03</v>
      </c>
      <c r="G371" s="1160">
        <f t="shared" si="34"/>
        <v>146.27512124190903</v>
      </c>
      <c r="H371" s="1160">
        <f t="shared" si="34"/>
        <v>445.9379315193101</v>
      </c>
    </row>
    <row r="372" spans="1:8">
      <c r="A372" s="1157">
        <f t="shared" si="32"/>
        <v>47422</v>
      </c>
      <c r="B372" s="1158">
        <f t="shared" si="30"/>
        <v>2030</v>
      </c>
      <c r="C372" s="1326"/>
      <c r="D372" s="1326"/>
      <c r="E372" s="1159">
        <f>IF($A372&lt;DATE(2018,7,1),"-",INDEX('I1 - Universal Data'!$E$16:$V$16, MATCH(YEAR(EOMONTH($A372,6)), 'I1 - Universal Data'!$E$14:$V$14, 0)))</f>
        <v>0.02</v>
      </c>
      <c r="F372" s="1159">
        <f>IF($A372&lt;DATE(2018,7,1),"-",INDEX('I1 - Universal Data'!$E$15:$V$15, MATCH(YEAR(EOMONTH($A372,6)), 'I1 - Universal Data'!$E$14:$V$14, 0)))</f>
        <v>0.03</v>
      </c>
      <c r="G372" s="1160">
        <f t="shared" si="34"/>
        <v>146.51670649708828</v>
      </c>
      <c r="H372" s="1160">
        <f t="shared" si="34"/>
        <v>447.03773476013981</v>
      </c>
    </row>
    <row r="373" spans="1:8">
      <c r="A373" s="1157">
        <f t="shared" si="32"/>
        <v>47452</v>
      </c>
      <c r="B373" s="1158">
        <f t="shared" si="30"/>
        <v>2030</v>
      </c>
      <c r="C373" s="1326"/>
      <c r="D373" s="1326"/>
      <c r="E373" s="1159">
        <f>IF($A373&lt;DATE(2018,7,1),"-",INDEX('I1 - Universal Data'!$E$16:$V$16, MATCH(YEAR(EOMONTH($A373,6)), 'I1 - Universal Data'!$E$14:$V$14, 0)))</f>
        <v>0.02</v>
      </c>
      <c r="F373" s="1159">
        <f>IF($A373&lt;DATE(2018,7,1),"-",INDEX('I1 - Universal Data'!$E$15:$V$15, MATCH(YEAR(EOMONTH($A373,6)), 'I1 - Universal Data'!$E$14:$V$14, 0)))</f>
        <v>0.03</v>
      </c>
      <c r="G373" s="1160">
        <f t="shared" si="34"/>
        <v>146.75869074995779</v>
      </c>
      <c r="H373" s="1160">
        <f t="shared" si="34"/>
        <v>448.14025041245787</v>
      </c>
    </row>
    <row r="374" spans="1:8">
      <c r="A374" s="1157">
        <f t="shared" si="32"/>
        <v>47483</v>
      </c>
      <c r="B374" s="1158">
        <f t="shared" si="30"/>
        <v>2030</v>
      </c>
      <c r="C374" s="1326"/>
      <c r="D374" s="1326"/>
      <c r="E374" s="1159">
        <f>IF($A374&lt;DATE(2018,7,1),"-",INDEX('I1 - Universal Data'!$E$16:$V$16, MATCH(YEAR(EOMONTH($A374,6)), 'I1 - Universal Data'!$E$14:$V$14, 0)))</f>
        <v>0.02</v>
      </c>
      <c r="F374" s="1159">
        <f>IF($A374&lt;DATE(2018,7,1),"-",INDEX('I1 - Universal Data'!$E$15:$V$15, MATCH(YEAR(EOMONTH($A374,6)), 'I1 - Universal Data'!$E$14:$V$14, 0)))</f>
        <v>0.03</v>
      </c>
      <c r="G374" s="1160">
        <f t="shared" ref="G374:H389" si="35">IF(ISBLANK(C374),G373*((1+E374)^(1/12)),C374)</f>
        <v>147.00107465949472</v>
      </c>
      <c r="H374" s="1160">
        <f t="shared" si="35"/>
        <v>449.24548516580273</v>
      </c>
    </row>
    <row r="375" spans="1:8">
      <c r="A375" s="1157">
        <f t="shared" si="32"/>
        <v>47514</v>
      </c>
      <c r="B375" s="1158">
        <f t="shared" si="30"/>
        <v>2030</v>
      </c>
      <c r="C375" s="1326"/>
      <c r="D375" s="1326"/>
      <c r="E375" s="1159">
        <f>IF($A375&lt;DATE(2018,7,1),"-",INDEX('I1 - Universal Data'!$E$16:$V$16, MATCH(YEAR(EOMONTH($A375,6)), 'I1 - Universal Data'!$E$14:$V$14, 0)))</f>
        <v>0.02</v>
      </c>
      <c r="F375" s="1159">
        <f>IF($A375&lt;DATE(2018,7,1),"-",INDEX('I1 - Universal Data'!$E$15:$V$15, MATCH(YEAR(EOMONTH($A375,6)), 'I1 - Universal Data'!$E$14:$V$14, 0)))</f>
        <v>0.03</v>
      </c>
      <c r="G375" s="1160">
        <f t="shared" si="35"/>
        <v>147.24385888576452</v>
      </c>
      <c r="H375" s="1160">
        <f t="shared" si="35"/>
        <v>450.35344572621108</v>
      </c>
    </row>
    <row r="376" spans="1:8">
      <c r="A376" s="1157">
        <f t="shared" si="32"/>
        <v>47542</v>
      </c>
      <c r="B376" s="1158">
        <f t="shared" si="30"/>
        <v>2030</v>
      </c>
      <c r="C376" s="1326"/>
      <c r="D376" s="1326"/>
      <c r="E376" s="1159">
        <f>IF($A376&lt;DATE(2018,7,1),"-",INDEX('I1 - Universal Data'!$E$16:$V$16, MATCH(YEAR(EOMONTH($A376,6)), 'I1 - Universal Data'!$E$14:$V$14, 0)))</f>
        <v>0.02</v>
      </c>
      <c r="F376" s="1159">
        <f>IF($A376&lt;DATE(2018,7,1),"-",INDEX('I1 - Universal Data'!$E$15:$V$15, MATCH(YEAR(EOMONTH($A376,6)), 'I1 - Universal Data'!$E$14:$V$14, 0)))</f>
        <v>0.03</v>
      </c>
      <c r="G376" s="1160">
        <f t="shared" si="35"/>
        <v>147.48704408992285</v>
      </c>
      <c r="H376" s="1160">
        <f t="shared" si="35"/>
        <v>451.46413881625847</v>
      </c>
    </row>
    <row r="377" spans="1:8">
      <c r="A377" s="1157">
        <f t="shared" si="32"/>
        <v>47573</v>
      </c>
      <c r="B377" s="1158">
        <f t="shared" si="30"/>
        <v>2030</v>
      </c>
      <c r="C377" s="1326"/>
      <c r="D377" s="1326"/>
      <c r="E377" s="1159">
        <f>IF($A377&lt;DATE(2018,7,1),"-",INDEX('I1 - Universal Data'!$E$16:$V$16, MATCH(YEAR(EOMONTH($A377,6)), 'I1 - Universal Data'!$E$14:$V$14, 0)))</f>
        <v>0.02</v>
      </c>
      <c r="F377" s="1159">
        <f>IF($A377&lt;DATE(2018,7,1),"-",INDEX('I1 - Universal Data'!$E$15:$V$15, MATCH(YEAR(EOMONTH($A377,6)), 'I1 - Universal Data'!$E$14:$V$14, 0)))</f>
        <v>0.03</v>
      </c>
      <c r="G377" s="1160">
        <f t="shared" si="35"/>
        <v>147.73063093421726</v>
      </c>
      <c r="H377" s="1160">
        <f t="shared" si="35"/>
        <v>452.5775711751001</v>
      </c>
    </row>
    <row r="378" spans="1:8">
      <c r="A378" s="1157">
        <f t="shared" si="32"/>
        <v>47603</v>
      </c>
      <c r="B378" s="1158">
        <f t="shared" si="30"/>
        <v>2031</v>
      </c>
      <c r="C378" s="1326"/>
      <c r="D378" s="1326"/>
      <c r="E378" s="1159">
        <f>IF($A378&lt;DATE(2018,7,1),"-",INDEX('I1 - Universal Data'!$E$16:$V$16, MATCH(YEAR(EOMONTH($A378,6)), 'I1 - Universal Data'!$E$14:$V$14, 0)))</f>
        <v>0.02</v>
      </c>
      <c r="F378" s="1159">
        <f>IF($A378&lt;DATE(2018,7,1),"-",INDEX('I1 - Universal Data'!$E$15:$V$15, MATCH(YEAR(EOMONTH($A378,6)), 'I1 - Universal Data'!$E$14:$V$14, 0)))</f>
        <v>0.03</v>
      </c>
      <c r="G378" s="1160">
        <f t="shared" si="35"/>
        <v>147.97462008198909</v>
      </c>
      <c r="H378" s="1160">
        <f t="shared" si="35"/>
        <v>453.69374955851185</v>
      </c>
    </row>
    <row r="379" spans="1:8">
      <c r="A379" s="1157">
        <f t="shared" si="32"/>
        <v>47634</v>
      </c>
      <c r="B379" s="1158">
        <f t="shared" si="30"/>
        <v>2031</v>
      </c>
      <c r="C379" s="1326"/>
      <c r="D379" s="1326"/>
      <c r="E379" s="1159">
        <f>IF($A379&lt;DATE(2018,7,1),"-",INDEX('I1 - Universal Data'!$E$16:$V$16, MATCH(YEAR(EOMONTH($A379,6)), 'I1 - Universal Data'!$E$14:$V$14, 0)))</f>
        <v>0.02</v>
      </c>
      <c r="F379" s="1159">
        <f>IF($A379&lt;DATE(2018,7,1),"-",INDEX('I1 - Universal Data'!$E$15:$V$15, MATCH(YEAR(EOMONTH($A379,6)), 'I1 - Universal Data'!$E$14:$V$14, 0)))</f>
        <v>0.03</v>
      </c>
      <c r="G379" s="1160">
        <f t="shared" si="35"/>
        <v>148.21901219767526</v>
      </c>
      <c r="H379" s="1160">
        <f t="shared" si="35"/>
        <v>454.81268073893114</v>
      </c>
    </row>
    <row r="380" spans="1:8">
      <c r="A380" s="1157">
        <f t="shared" si="32"/>
        <v>47664</v>
      </c>
      <c r="B380" s="1158">
        <f t="shared" si="30"/>
        <v>2031</v>
      </c>
      <c r="C380" s="1326"/>
      <c r="D380" s="1326"/>
      <c r="E380" s="1159">
        <f>IF($A380&lt;DATE(2018,7,1),"-",INDEX('I1 - Universal Data'!$E$16:$V$16, MATCH(YEAR(EOMONTH($A380,6)), 'I1 - Universal Data'!$E$14:$V$14, 0)))</f>
        <v>0.02</v>
      </c>
      <c r="F380" s="1159">
        <f>IF($A380&lt;DATE(2018,7,1),"-",INDEX('I1 - Universal Data'!$E$15:$V$15, MATCH(YEAR(EOMONTH($A380,6)), 'I1 - Universal Data'!$E$14:$V$14, 0)))</f>
        <v>0.03</v>
      </c>
      <c r="G380" s="1160">
        <f t="shared" si="35"/>
        <v>148.46380794681002</v>
      </c>
      <c r="H380" s="1160">
        <f t="shared" si="35"/>
        <v>455.93437150549795</v>
      </c>
    </row>
    <row r="381" spans="1:8">
      <c r="A381" s="1157">
        <f t="shared" si="32"/>
        <v>47695</v>
      </c>
      <c r="B381" s="1158">
        <f t="shared" si="30"/>
        <v>2031</v>
      </c>
      <c r="C381" s="1326"/>
      <c r="D381" s="1326"/>
      <c r="E381" s="1159">
        <f>IF($A381&lt;DATE(2018,7,1),"-",INDEX('I1 - Universal Data'!$E$16:$V$16, MATCH(YEAR(EOMONTH($A381,6)), 'I1 - Universal Data'!$E$14:$V$14, 0)))</f>
        <v>0.02</v>
      </c>
      <c r="F381" s="1159">
        <f>IF($A381&lt;DATE(2018,7,1),"-",INDEX('I1 - Universal Data'!$E$15:$V$15, MATCH(YEAR(EOMONTH($A381,6)), 'I1 - Universal Data'!$E$14:$V$14, 0)))</f>
        <v>0.03</v>
      </c>
      <c r="G381" s="1160">
        <f t="shared" si="35"/>
        <v>148.70900799602686</v>
      </c>
      <c r="H381" s="1160">
        <f t="shared" si="35"/>
        <v>457.05882866409621</v>
      </c>
    </row>
    <row r="382" spans="1:8">
      <c r="A382" s="1157">
        <f t="shared" si="32"/>
        <v>47726</v>
      </c>
      <c r="B382" s="1158">
        <f t="shared" si="30"/>
        <v>2031</v>
      </c>
      <c r="C382" s="1326"/>
      <c r="D382" s="1326"/>
      <c r="E382" s="1159">
        <f>IF($A382&lt;DATE(2018,7,1),"-",INDEX('I1 - Universal Data'!$E$16:$V$16, MATCH(YEAR(EOMONTH($A382,6)), 'I1 - Universal Data'!$E$14:$V$14, 0)))</f>
        <v>0.02</v>
      </c>
      <c r="F382" s="1159">
        <f>IF($A382&lt;DATE(2018,7,1),"-",INDEX('I1 - Universal Data'!$E$15:$V$15, MATCH(YEAR(EOMONTH($A382,6)), 'I1 - Universal Data'!$E$14:$V$14, 0)))</f>
        <v>0.03</v>
      </c>
      <c r="G382" s="1160">
        <f t="shared" si="35"/>
        <v>148.9546130130602</v>
      </c>
      <c r="H382" s="1160">
        <f t="shared" si="35"/>
        <v>458.18605903739501</v>
      </c>
    </row>
    <row r="383" spans="1:8">
      <c r="A383" s="1157">
        <f t="shared" si="32"/>
        <v>47756</v>
      </c>
      <c r="B383" s="1158">
        <f t="shared" si="30"/>
        <v>2031</v>
      </c>
      <c r="C383" s="1326"/>
      <c r="D383" s="1326"/>
      <c r="E383" s="1159">
        <f>IF($A383&lt;DATE(2018,7,1),"-",INDEX('I1 - Universal Data'!$E$16:$V$16, MATCH(YEAR(EOMONTH($A383,6)), 'I1 - Universal Data'!$E$14:$V$14, 0)))</f>
        <v>0.02</v>
      </c>
      <c r="F383" s="1159">
        <f>IF($A383&lt;DATE(2018,7,1),"-",INDEX('I1 - Universal Data'!$E$15:$V$15, MATCH(YEAR(EOMONTH($A383,6)), 'I1 - Universal Data'!$E$14:$V$14, 0)))</f>
        <v>0.03</v>
      </c>
      <c r="G383" s="1160">
        <f t="shared" si="35"/>
        <v>149.20062366674733</v>
      </c>
      <c r="H383" s="1160">
        <f t="shared" si="35"/>
        <v>459.31606946488989</v>
      </c>
    </row>
    <row r="384" spans="1:8">
      <c r="A384" s="1157">
        <f t="shared" si="32"/>
        <v>47787</v>
      </c>
      <c r="B384" s="1158">
        <f t="shared" si="30"/>
        <v>2031</v>
      </c>
      <c r="C384" s="1326"/>
      <c r="D384" s="1326"/>
      <c r="E384" s="1159">
        <f>IF($A384&lt;DATE(2018,7,1),"-",INDEX('I1 - Universal Data'!$E$16:$V$16, MATCH(YEAR(EOMONTH($A384,6)), 'I1 - Universal Data'!$E$14:$V$14, 0)))</f>
        <v>0.02</v>
      </c>
      <c r="F384" s="1159">
        <f>IF($A384&lt;DATE(2018,7,1),"-",INDEX('I1 - Universal Data'!$E$15:$V$15, MATCH(YEAR(EOMONTH($A384,6)), 'I1 - Universal Data'!$E$14:$V$14, 0)))</f>
        <v>0.03</v>
      </c>
      <c r="G384" s="1160">
        <f t="shared" si="35"/>
        <v>149.44704062703016</v>
      </c>
      <c r="H384" s="1160">
        <f t="shared" si="35"/>
        <v>460.44886680294451</v>
      </c>
    </row>
    <row r="385" spans="1:8">
      <c r="A385" s="1157">
        <f t="shared" si="32"/>
        <v>47817</v>
      </c>
      <c r="B385" s="1158">
        <f t="shared" si="30"/>
        <v>2031</v>
      </c>
      <c r="C385" s="1326"/>
      <c r="D385" s="1326"/>
      <c r="E385" s="1159">
        <f>IF($A385&lt;DATE(2018,7,1),"-",INDEX('I1 - Universal Data'!$E$16:$V$16, MATCH(YEAR(EOMONTH($A385,6)), 'I1 - Universal Data'!$E$14:$V$14, 0)))</f>
        <v>0.02</v>
      </c>
      <c r="F385" s="1159">
        <f>IF($A385&lt;DATE(2018,7,1),"-",INDEX('I1 - Universal Data'!$E$15:$V$15, MATCH(YEAR(EOMONTH($A385,6)), 'I1 - Universal Data'!$E$14:$V$14, 0)))</f>
        <v>0.03</v>
      </c>
      <c r="G385" s="1160">
        <f t="shared" si="35"/>
        <v>149.69386456495707</v>
      </c>
      <c r="H385" s="1160">
        <f t="shared" si="35"/>
        <v>461.58445792483212</v>
      </c>
    </row>
    <row r="386" spans="1:8">
      <c r="A386" s="1157">
        <f t="shared" si="32"/>
        <v>47848</v>
      </c>
      <c r="B386" s="1158">
        <f t="shared" si="30"/>
        <v>2031</v>
      </c>
      <c r="C386" s="1326"/>
      <c r="D386" s="1326"/>
      <c r="E386" s="1159">
        <f>IF($A386&lt;DATE(2018,7,1),"-",INDEX('I1 - Universal Data'!$E$16:$V$16, MATCH(YEAR(EOMONTH($A386,6)), 'I1 - Universal Data'!$E$14:$V$14, 0)))</f>
        <v>0.02</v>
      </c>
      <c r="F386" s="1159">
        <f>IF($A386&lt;DATE(2018,7,1),"-",INDEX('I1 - Universal Data'!$E$15:$V$15, MATCH(YEAR(EOMONTH($A386,6)), 'I1 - Universal Data'!$E$14:$V$14, 0)))</f>
        <v>0.03</v>
      </c>
      <c r="G386" s="1160">
        <f t="shared" si="35"/>
        <v>149.94109615268474</v>
      </c>
      <c r="H386" s="1160">
        <f t="shared" si="35"/>
        <v>462.72284972077733</v>
      </c>
    </row>
    <row r="387" spans="1:8">
      <c r="A387" s="1157">
        <f t="shared" si="32"/>
        <v>47879</v>
      </c>
      <c r="B387" s="1158">
        <f t="shared" si="30"/>
        <v>2031</v>
      </c>
      <c r="C387" s="1326"/>
      <c r="D387" s="1326"/>
      <c r="E387" s="1159">
        <f>IF($A387&lt;DATE(2018,7,1),"-",INDEX('I1 - Universal Data'!$E$16:$V$16, MATCH(YEAR(EOMONTH($A387,6)), 'I1 - Universal Data'!$E$14:$V$14, 0)))</f>
        <v>0.02</v>
      </c>
      <c r="F387" s="1159">
        <f>IF($A387&lt;DATE(2018,7,1),"-",INDEX('I1 - Universal Data'!$E$15:$V$15, MATCH(YEAR(EOMONTH($A387,6)), 'I1 - Universal Data'!$E$14:$V$14, 0)))</f>
        <v>0.03</v>
      </c>
      <c r="G387" s="1160">
        <f t="shared" si="35"/>
        <v>150.18873606347992</v>
      </c>
      <c r="H387" s="1160">
        <f t="shared" si="35"/>
        <v>463.86404909799791</v>
      </c>
    </row>
    <row r="388" spans="1:8">
      <c r="A388" s="1157">
        <f t="shared" si="32"/>
        <v>47907</v>
      </c>
      <c r="B388" s="1158">
        <f t="shared" si="30"/>
        <v>2031</v>
      </c>
      <c r="C388" s="1326"/>
      <c r="D388" s="1326"/>
      <c r="E388" s="1159">
        <f>IF($A388&lt;DATE(2018,7,1),"-",INDEX('I1 - Universal Data'!$E$16:$V$16, MATCH(YEAR(EOMONTH($A388,6)), 'I1 - Universal Data'!$E$14:$V$14, 0)))</f>
        <v>0.02</v>
      </c>
      <c r="F388" s="1159">
        <f>IF($A388&lt;DATE(2018,7,1),"-",INDEX('I1 - Universal Data'!$E$15:$V$15, MATCH(YEAR(EOMONTH($A388,6)), 'I1 - Universal Data'!$E$14:$V$14, 0)))</f>
        <v>0.03</v>
      </c>
      <c r="G388" s="1160">
        <f t="shared" si="35"/>
        <v>150.43678497172141</v>
      </c>
      <c r="H388" s="1160">
        <f t="shared" si="35"/>
        <v>465.00806298074667</v>
      </c>
    </row>
    <row r="389" spans="1:8">
      <c r="A389" s="1157">
        <f t="shared" si="32"/>
        <v>47938</v>
      </c>
      <c r="B389" s="1158">
        <f t="shared" si="30"/>
        <v>2031</v>
      </c>
      <c r="C389" s="1326"/>
      <c r="D389" s="1326"/>
      <c r="E389" s="1159">
        <f>IF($A389&lt;DATE(2018,7,1),"-",INDEX('I1 - Universal Data'!$E$16:$V$16, MATCH(YEAR(EOMONTH($A389,6)), 'I1 - Universal Data'!$E$14:$V$14, 0)))</f>
        <v>0.02</v>
      </c>
      <c r="F389" s="1159">
        <f>IF($A389&lt;DATE(2018,7,1),"-",INDEX('I1 - Universal Data'!$E$15:$V$15, MATCH(YEAR(EOMONTH($A389,6)), 'I1 - Universal Data'!$E$14:$V$14, 0)))</f>
        <v>0.03</v>
      </c>
      <c r="G389" s="1160">
        <f t="shared" si="35"/>
        <v>150.68524355290171</v>
      </c>
      <c r="H389" s="1160">
        <f t="shared" si="35"/>
        <v>466.15489831035359</v>
      </c>
    </row>
    <row r="390" spans="1:8">
      <c r="A390" s="1157">
        <f t="shared" si="32"/>
        <v>47968</v>
      </c>
      <c r="B390" s="1158">
        <f t="shared" ref="B390:B413" si="36">IF(MONTH(A390)&gt;=4,YEAR(A390)+1,YEAR(A390))</f>
        <v>2032</v>
      </c>
      <c r="C390" s="1326"/>
      <c r="D390" s="1326"/>
      <c r="E390" s="1159">
        <f>IF($A390&lt;DATE(2018,7,1),"-",INDEX('I1 - Universal Data'!$E$16:$V$16, MATCH(YEAR(EOMONTH($A390,6)), 'I1 - Universal Data'!$E$14:$V$14, 0)))</f>
        <v>0.02</v>
      </c>
      <c r="F390" s="1159">
        <f>IF($A390&lt;DATE(2018,7,1),"-",INDEX('I1 - Universal Data'!$E$15:$V$15, MATCH(YEAR(EOMONTH($A390,6)), 'I1 - Universal Data'!$E$14:$V$14, 0)))</f>
        <v>0.03</v>
      </c>
      <c r="G390" s="1160">
        <f t="shared" ref="G390:H405" si="37">IF(ISBLANK(C390),G389*((1+E390)^(1/12)),C390)</f>
        <v>150.93411248362898</v>
      </c>
      <c r="H390" s="1160">
        <f t="shared" si="37"/>
        <v>467.30456204526769</v>
      </c>
    </row>
    <row r="391" spans="1:8">
      <c r="A391" s="1157">
        <f t="shared" ref="A391:A413" si="38">IF(MONTH(A390) = 12, EOMONTH(DATE(YEAR(A390) + 1, 1, 1), 0), EOMONTH(DATE(YEAR(A390), MONTH(A390) + 1, 1), 0))</f>
        <v>47999</v>
      </c>
      <c r="B391" s="1158">
        <f t="shared" si="36"/>
        <v>2032</v>
      </c>
      <c r="C391" s="1326"/>
      <c r="D391" s="1326"/>
      <c r="E391" s="1159">
        <f>IF($A391&lt;DATE(2018,7,1),"-",INDEX('I1 - Universal Data'!$E$16:$V$16, MATCH(YEAR(EOMONTH($A391,6)), 'I1 - Universal Data'!$E$14:$V$14, 0)))</f>
        <v>0.02</v>
      </c>
      <c r="F391" s="1159">
        <f>IF($A391&lt;DATE(2018,7,1),"-",INDEX('I1 - Universal Data'!$E$15:$V$15, MATCH(YEAR(EOMONTH($A391,6)), 'I1 - Universal Data'!$E$14:$V$14, 0)))</f>
        <v>0.03</v>
      </c>
      <c r="G391" s="1160">
        <f t="shared" si="37"/>
        <v>151.18339244162885</v>
      </c>
      <c r="H391" s="1160">
        <f t="shared" si="37"/>
        <v>468.45706116109955</v>
      </c>
    </row>
    <row r="392" spans="1:8">
      <c r="A392" s="1157">
        <f t="shared" si="38"/>
        <v>48029</v>
      </c>
      <c r="B392" s="1158">
        <f t="shared" si="36"/>
        <v>2032</v>
      </c>
      <c r="C392" s="1326"/>
      <c r="D392" s="1326"/>
      <c r="E392" s="1159">
        <f>IF($A392&lt;DATE(2018,7,1),"-",INDEX('I1 - Universal Data'!$E$16:$V$16, MATCH(YEAR(EOMONTH($A392,6)), 'I1 - Universal Data'!$E$14:$V$14, 0)))</f>
        <v>0.02</v>
      </c>
      <c r="F392" s="1159">
        <f>IF($A392&lt;DATE(2018,7,1),"-",INDEX('I1 - Universal Data'!$E$15:$V$15, MATCH(YEAR(EOMONTH($A392,6)), 'I1 - Universal Data'!$E$14:$V$14, 0)))</f>
        <v>0.03</v>
      </c>
      <c r="G392" s="1160">
        <f t="shared" si="37"/>
        <v>151.4330841057463</v>
      </c>
      <c r="H392" s="1160">
        <f t="shared" si="37"/>
        <v>469.6124026506634</v>
      </c>
    </row>
    <row r="393" spans="1:8">
      <c r="A393" s="1157">
        <f t="shared" si="38"/>
        <v>48060</v>
      </c>
      <c r="B393" s="1158">
        <f t="shared" si="36"/>
        <v>2032</v>
      </c>
      <c r="C393" s="1326"/>
      <c r="D393" s="1326"/>
      <c r="E393" s="1159">
        <f>IF($A393&lt;DATE(2018,7,1),"-",INDEX('I1 - Universal Data'!$E$16:$V$16, MATCH(YEAR(EOMONTH($A393,6)), 'I1 - Universal Data'!$E$14:$V$14, 0)))</f>
        <v>0.02</v>
      </c>
      <c r="F393" s="1159">
        <f>IF($A393&lt;DATE(2018,7,1),"-",INDEX('I1 - Universal Data'!$E$15:$V$15, MATCH(YEAR(EOMONTH($A393,6)), 'I1 - Universal Data'!$E$14:$V$14, 0)))</f>
        <v>0.03</v>
      </c>
      <c r="G393" s="1160">
        <f t="shared" si="37"/>
        <v>151.68318815594748</v>
      </c>
      <c r="H393" s="1160">
        <f t="shared" si="37"/>
        <v>470.77059352401966</v>
      </c>
    </row>
    <row r="394" spans="1:8">
      <c r="A394" s="1157">
        <f t="shared" si="38"/>
        <v>48091</v>
      </c>
      <c r="B394" s="1158">
        <f t="shared" si="36"/>
        <v>2032</v>
      </c>
      <c r="C394" s="1326"/>
      <c r="D394" s="1326"/>
      <c r="E394" s="1159">
        <f>IF($A394&lt;DATE(2018,7,1),"-",INDEX('I1 - Universal Data'!$E$16:$V$16, MATCH(YEAR(EOMONTH($A394,6)), 'I1 - Universal Data'!$E$14:$V$14, 0)))</f>
        <v>0.02</v>
      </c>
      <c r="F394" s="1159">
        <f>IF($A394&lt;DATE(2018,7,1),"-",INDEX('I1 - Universal Data'!$E$15:$V$15, MATCH(YEAR(EOMONTH($A394,6)), 'I1 - Universal Data'!$E$14:$V$14, 0)))</f>
        <v>0.03</v>
      </c>
      <c r="G394" s="1160">
        <f t="shared" si="37"/>
        <v>151.93370527332149</v>
      </c>
      <c r="H394" s="1160">
        <f t="shared" si="37"/>
        <v>471.93164080851744</v>
      </c>
    </row>
    <row r="395" spans="1:8">
      <c r="A395" s="1157">
        <f t="shared" si="38"/>
        <v>48121</v>
      </c>
      <c r="B395" s="1158">
        <f t="shared" si="36"/>
        <v>2032</v>
      </c>
      <c r="C395" s="1326"/>
      <c r="D395" s="1326"/>
      <c r="E395" s="1159">
        <f>IF($A395&lt;DATE(2018,7,1),"-",INDEX('I1 - Universal Data'!$E$16:$V$16, MATCH(YEAR(EOMONTH($A395,6)), 'I1 - Universal Data'!$E$14:$V$14, 0)))</f>
        <v>0.02</v>
      </c>
      <c r="F395" s="1159">
        <f>IF($A395&lt;DATE(2018,7,1),"-",INDEX('I1 - Universal Data'!$E$15:$V$15, MATCH(YEAR(EOMONTH($A395,6)), 'I1 - Universal Data'!$E$14:$V$14, 0)))</f>
        <v>0.03</v>
      </c>
      <c r="G395" s="1160">
        <f t="shared" si="37"/>
        <v>152.18463614008238</v>
      </c>
      <c r="H395" s="1160">
        <f t="shared" si="37"/>
        <v>473.09555154883719</v>
      </c>
    </row>
    <row r="396" spans="1:8">
      <c r="A396" s="1157">
        <f t="shared" si="38"/>
        <v>48152</v>
      </c>
      <c r="B396" s="1158">
        <f t="shared" si="36"/>
        <v>2032</v>
      </c>
      <c r="C396" s="1326"/>
      <c r="D396" s="1326"/>
      <c r="E396" s="1159">
        <f>IF($A396&lt;DATE(2018,7,1),"-",INDEX('I1 - Universal Data'!$E$16:$V$16, MATCH(YEAR(EOMONTH($A396,6)), 'I1 - Universal Data'!$E$14:$V$14, 0)))</f>
        <v>0.02</v>
      </c>
      <c r="F396" s="1159">
        <f>IF($A396&lt;DATE(2018,7,1),"-",INDEX('I1 - Universal Data'!$E$15:$V$15, MATCH(YEAR(EOMONTH($A396,6)), 'I1 - Universal Data'!$E$14:$V$14, 0)))</f>
        <v>0.03</v>
      </c>
      <c r="G396" s="1160">
        <f t="shared" si="37"/>
        <v>152.43598143957087</v>
      </c>
      <c r="H396" s="1160">
        <f t="shared" si="37"/>
        <v>474.26233280703343</v>
      </c>
    </row>
    <row r="397" spans="1:8">
      <c r="A397" s="1157">
        <f t="shared" si="38"/>
        <v>48182</v>
      </c>
      <c r="B397" s="1158">
        <f t="shared" si="36"/>
        <v>2032</v>
      </c>
      <c r="C397" s="1326"/>
      <c r="D397" s="1326"/>
      <c r="E397" s="1159">
        <f>IF($A397&lt;DATE(2018,7,1),"-",INDEX('I1 - Universal Data'!$E$16:$V$16, MATCH(YEAR(EOMONTH($A397,6)), 'I1 - Universal Data'!$E$14:$V$14, 0)))</f>
        <v>0.02</v>
      </c>
      <c r="F397" s="1159">
        <f>IF($A397&lt;DATE(2018,7,1),"-",INDEX('I1 - Universal Data'!$E$15:$V$15, MATCH(YEAR(EOMONTH($A397,6)), 'I1 - Universal Data'!$E$14:$V$14, 0)))</f>
        <v>0.03</v>
      </c>
      <c r="G397" s="1160">
        <f t="shared" si="37"/>
        <v>152.68774185625631</v>
      </c>
      <c r="H397" s="1160">
        <f t="shared" si="37"/>
        <v>475.43199166257767</v>
      </c>
    </row>
    <row r="398" spans="1:8">
      <c r="A398" s="1157">
        <f t="shared" si="38"/>
        <v>48213</v>
      </c>
      <c r="B398" s="1158">
        <f t="shared" si="36"/>
        <v>2032</v>
      </c>
      <c r="C398" s="1326"/>
      <c r="D398" s="1326"/>
      <c r="E398" s="1159">
        <f>IF($A398&lt;DATE(2018,7,1),"-",INDEX('I1 - Universal Data'!$E$16:$V$16, MATCH(YEAR(EOMONTH($A398,6)), 'I1 - Universal Data'!$E$14:$V$14, 0)))</f>
        <v>0.02</v>
      </c>
      <c r="F398" s="1159">
        <f>IF($A398&lt;DATE(2018,7,1),"-",INDEX('I1 - Universal Data'!$E$15:$V$15, MATCH(YEAR(EOMONTH($A398,6)), 'I1 - Universal Data'!$E$14:$V$14, 0)))</f>
        <v>0.03</v>
      </c>
      <c r="G398" s="1160">
        <f t="shared" si="37"/>
        <v>152.93991807573852</v>
      </c>
      <c r="H398" s="1160">
        <f t="shared" si="37"/>
        <v>476.60453521240123</v>
      </c>
    </row>
    <row r="399" spans="1:8">
      <c r="A399" s="1157">
        <f t="shared" si="38"/>
        <v>48244</v>
      </c>
      <c r="B399" s="1158">
        <f t="shared" si="36"/>
        <v>2032</v>
      </c>
      <c r="C399" s="1326"/>
      <c r="D399" s="1326"/>
      <c r="E399" s="1159">
        <f>IF($A399&lt;DATE(2018,7,1),"-",INDEX('I1 - Universal Data'!$E$16:$V$16, MATCH(YEAR(EOMONTH($A399,6)), 'I1 - Universal Data'!$E$14:$V$14, 0)))</f>
        <v>0.02</v>
      </c>
      <c r="F399" s="1159">
        <f>IF($A399&lt;DATE(2018,7,1),"-",INDEX('I1 - Universal Data'!$E$15:$V$15, MATCH(YEAR(EOMONTH($A399,6)), 'I1 - Universal Data'!$E$14:$V$14, 0)))</f>
        <v>0.03</v>
      </c>
      <c r="G399" s="1160">
        <f t="shared" si="37"/>
        <v>153.19251078474963</v>
      </c>
      <c r="H399" s="1160">
        <f t="shared" si="37"/>
        <v>477.77997057093842</v>
      </c>
    </row>
    <row r="400" spans="1:8">
      <c r="A400" s="1157">
        <f t="shared" si="38"/>
        <v>48273</v>
      </c>
      <c r="B400" s="1158">
        <f t="shared" si="36"/>
        <v>2032</v>
      </c>
      <c r="C400" s="1326"/>
      <c r="D400" s="1326"/>
      <c r="E400" s="1159">
        <f>IF($A400&lt;DATE(2018,7,1),"-",INDEX('I1 - Universal Data'!$E$16:$V$16, MATCH(YEAR(EOMONTH($A400,6)), 'I1 - Universal Data'!$E$14:$V$14, 0)))</f>
        <v>0.02</v>
      </c>
      <c r="F400" s="1159">
        <f>IF($A400&lt;DATE(2018,7,1),"-",INDEX('I1 - Universal Data'!$E$15:$V$15, MATCH(YEAR(EOMONTH($A400,6)), 'I1 - Universal Data'!$E$14:$V$14, 0)))</f>
        <v>0.03</v>
      </c>
      <c r="G400" s="1160">
        <f t="shared" si="37"/>
        <v>153.44552067115595</v>
      </c>
      <c r="H400" s="1160">
        <f t="shared" si="37"/>
        <v>478.95830487016968</v>
      </c>
    </row>
    <row r="401" spans="1:8">
      <c r="A401" s="1157">
        <f t="shared" si="38"/>
        <v>48304</v>
      </c>
      <c r="B401" s="1158">
        <f t="shared" si="36"/>
        <v>2032</v>
      </c>
      <c r="C401" s="1326"/>
      <c r="D401" s="1326"/>
      <c r="E401" s="1159">
        <f>IF($A401&lt;DATE(2018,7,1),"-",INDEX('I1 - Universal Data'!$E$16:$V$16, MATCH(YEAR(EOMONTH($A401,6)), 'I1 - Universal Data'!$E$14:$V$14, 0)))</f>
        <v>0.02</v>
      </c>
      <c r="F401" s="1159">
        <f>IF($A401&lt;DATE(2018,7,1),"-",INDEX('I1 - Universal Data'!$E$15:$V$15, MATCH(YEAR(EOMONTH($A401,6)), 'I1 - Universal Data'!$E$14:$V$14, 0)))</f>
        <v>0.03</v>
      </c>
      <c r="G401" s="1160">
        <f t="shared" si="37"/>
        <v>153.69894842395985</v>
      </c>
      <c r="H401" s="1160">
        <f t="shared" si="37"/>
        <v>480.13954525966477</v>
      </c>
    </row>
    <row r="402" spans="1:8">
      <c r="A402" s="1157">
        <f t="shared" si="38"/>
        <v>48334</v>
      </c>
      <c r="B402" s="1158">
        <f t="shared" si="36"/>
        <v>2033</v>
      </c>
      <c r="C402" s="1326"/>
      <c r="D402" s="1326"/>
      <c r="E402" s="1159">
        <f>IF($A402&lt;DATE(2018,7,1),"-",INDEX('I1 - Universal Data'!$E$16:$V$16, MATCH(YEAR(EOMONTH($A402,6)), 'I1 - Universal Data'!$E$14:$V$14, 0)))</f>
        <v>0.02</v>
      </c>
      <c r="F402" s="1159">
        <f>IF($A402&lt;DATE(2018,7,1),"-",INDEX('I1 - Universal Data'!$E$15:$V$15, MATCH(YEAR(EOMONTH($A402,6)), 'I1 - Universal Data'!$E$14:$V$14, 0)))</f>
        <v>0.03</v>
      </c>
      <c r="G402" s="1160">
        <f t="shared" si="37"/>
        <v>153.95279473330166</v>
      </c>
      <c r="H402" s="1160">
        <f t="shared" si="37"/>
        <v>481.3236989066263</v>
      </c>
    </row>
    <row r="403" spans="1:8">
      <c r="A403" s="1157">
        <f t="shared" si="38"/>
        <v>48365</v>
      </c>
      <c r="B403" s="1158">
        <f t="shared" si="36"/>
        <v>2033</v>
      </c>
      <c r="C403" s="1326"/>
      <c r="D403" s="1326"/>
      <c r="E403" s="1159">
        <f>IF($A403&lt;DATE(2018,7,1),"-",INDEX('I1 - Universal Data'!$E$16:$V$16, MATCH(YEAR(EOMONTH($A403,6)), 'I1 - Universal Data'!$E$14:$V$14, 0)))</f>
        <v>0.02</v>
      </c>
      <c r="F403" s="1159">
        <f>IF($A403&lt;DATE(2018,7,1),"-",INDEX('I1 - Universal Data'!$E$15:$V$15, MATCH(YEAR(EOMONTH($A403,6)), 'I1 - Universal Data'!$E$14:$V$14, 0)))</f>
        <v>0.03</v>
      </c>
      <c r="G403" s="1160">
        <f t="shared" si="37"/>
        <v>154.20706029046156</v>
      </c>
      <c r="H403" s="1160">
        <f t="shared" si="37"/>
        <v>482.51077299593311</v>
      </c>
    </row>
    <row r="404" spans="1:8">
      <c r="A404" s="1157">
        <f t="shared" si="38"/>
        <v>48395</v>
      </c>
      <c r="B404" s="1158">
        <f t="shared" si="36"/>
        <v>2033</v>
      </c>
      <c r="C404" s="1326"/>
      <c r="D404" s="1326"/>
      <c r="E404" s="1159">
        <f>IF($A404&lt;DATE(2018,7,1),"-",INDEX('I1 - Universal Data'!$E$16:$V$16, MATCH(YEAR(EOMONTH($A404,6)), 'I1 - Universal Data'!$E$14:$V$14, 0)))</f>
        <v>0.02</v>
      </c>
      <c r="F404" s="1159">
        <f>IF($A404&lt;DATE(2018,7,1),"-",INDEX('I1 - Universal Data'!$E$15:$V$15, MATCH(YEAR(EOMONTH($A404,6)), 'I1 - Universal Data'!$E$14:$V$14, 0)))</f>
        <v>0.03</v>
      </c>
      <c r="G404" s="1160">
        <f t="shared" si="37"/>
        <v>154.46174578786136</v>
      </c>
      <c r="H404" s="1160">
        <f t="shared" si="37"/>
        <v>483.70077473018387</v>
      </c>
    </row>
    <row r="405" spans="1:8">
      <c r="A405" s="1157">
        <f t="shared" si="38"/>
        <v>48426</v>
      </c>
      <c r="B405" s="1158">
        <f t="shared" si="36"/>
        <v>2033</v>
      </c>
      <c r="C405" s="1326"/>
      <c r="D405" s="1326"/>
      <c r="E405" s="1159">
        <f>IF($A405&lt;DATE(2018,7,1),"-",INDEX('I1 - Universal Data'!$E$16:$V$16, MATCH(YEAR(EOMONTH($A405,6)), 'I1 - Universal Data'!$E$14:$V$14, 0)))</f>
        <v>0.02</v>
      </c>
      <c r="F405" s="1159">
        <f>IF($A405&lt;DATE(2018,7,1),"-",INDEX('I1 - Universal Data'!$E$15:$V$15, MATCH(YEAR(EOMONTH($A405,6)), 'I1 - Universal Data'!$E$14:$V$14, 0)))</f>
        <v>0.03</v>
      </c>
      <c r="G405" s="1160">
        <f t="shared" si="37"/>
        <v>154.71685191906656</v>
      </c>
      <c r="H405" s="1160">
        <f t="shared" si="37"/>
        <v>484.89371132974077</v>
      </c>
    </row>
    <row r="406" spans="1:8">
      <c r="A406" s="1157">
        <f t="shared" si="38"/>
        <v>48457</v>
      </c>
      <c r="B406" s="1158">
        <f t="shared" si="36"/>
        <v>2033</v>
      </c>
      <c r="C406" s="1326"/>
      <c r="D406" s="1326"/>
      <c r="E406" s="1159">
        <f>IF($A406&lt;DATE(2018,7,1),"-",INDEX('I1 - Universal Data'!$E$16:$V$16, MATCH(YEAR(EOMONTH($A406,6)), 'I1 - Universal Data'!$E$14:$V$14, 0)))</f>
        <v>0.02</v>
      </c>
      <c r="F406" s="1159">
        <f>IF($A406&lt;DATE(2018,7,1),"-",INDEX('I1 - Universal Data'!$E$15:$V$15, MATCH(YEAR(EOMONTH($A406,6)), 'I1 - Universal Data'!$E$14:$V$14, 0)))</f>
        <v>0.03</v>
      </c>
      <c r="G406" s="1160">
        <f t="shared" ref="G406:H413" si="39">IF(ISBLANK(C406),G405*((1+E406)^(1/12)),C406)</f>
        <v>154.97237937878805</v>
      </c>
      <c r="H406" s="1160">
        <f t="shared" si="39"/>
        <v>486.08959003277346</v>
      </c>
    </row>
    <row r="407" spans="1:8">
      <c r="A407" s="1157">
        <f t="shared" si="38"/>
        <v>48487</v>
      </c>
      <c r="B407" s="1158">
        <f t="shared" si="36"/>
        <v>2033</v>
      </c>
      <c r="C407" s="1326"/>
      <c r="D407" s="1326"/>
      <c r="E407" s="1159">
        <f>IF($A407&lt;DATE(2018,7,1),"-",INDEX('I1 - Universal Data'!$E$16:$V$16, MATCH(YEAR(EOMONTH($A407,6)), 'I1 - Universal Data'!$E$14:$V$14, 0)))</f>
        <v>0.02</v>
      </c>
      <c r="F407" s="1159">
        <f>IF($A407&lt;DATE(2018,7,1),"-",INDEX('I1 - Universal Data'!$E$15:$V$15, MATCH(YEAR(EOMONTH($A407,6)), 'I1 - Universal Data'!$E$14:$V$14, 0)))</f>
        <v>0.03</v>
      </c>
      <c r="G407" s="1160">
        <f t="shared" si="39"/>
        <v>155.22832886288415</v>
      </c>
      <c r="H407" s="1160">
        <f t="shared" si="39"/>
        <v>487.2884180953028</v>
      </c>
    </row>
    <row r="408" spans="1:8">
      <c r="A408" s="1157">
        <f t="shared" si="38"/>
        <v>48518</v>
      </c>
      <c r="B408" s="1158">
        <f t="shared" si="36"/>
        <v>2033</v>
      </c>
      <c r="C408" s="1326"/>
      <c r="D408" s="1326"/>
      <c r="E408" s="1159">
        <f>IF($A408&lt;DATE(2018,7,1),"-",INDEX('I1 - Universal Data'!$E$16:$V$16, MATCH(YEAR(EOMONTH($A408,6)), 'I1 - Universal Data'!$E$14:$V$14, 0)))</f>
        <v>0.02</v>
      </c>
      <c r="F408" s="1159">
        <f>IF($A408&lt;DATE(2018,7,1),"-",INDEX('I1 - Universal Data'!$E$15:$V$15, MATCH(YEAR(EOMONTH($A408,6)), 'I1 - Universal Data'!$E$14:$V$14, 0)))</f>
        <v>0.03</v>
      </c>
      <c r="G408" s="1160">
        <f t="shared" si="39"/>
        <v>155.48470106836243</v>
      </c>
      <c r="H408" s="1160">
        <f t="shared" si="39"/>
        <v>488.49020279124494</v>
      </c>
    </row>
    <row r="409" spans="1:8">
      <c r="A409" s="1157">
        <f t="shared" si="38"/>
        <v>48548</v>
      </c>
      <c r="B409" s="1158">
        <f t="shared" si="36"/>
        <v>2033</v>
      </c>
      <c r="C409" s="1326"/>
      <c r="D409" s="1326"/>
      <c r="E409" s="1159">
        <f>IF($A409&lt;DATE(2018,7,1),"-",INDEX('I1 - Universal Data'!$E$16:$V$16, MATCH(YEAR(EOMONTH($A409,6)), 'I1 - Universal Data'!$E$14:$V$14, 0)))</f>
        <v>0.02</v>
      </c>
      <c r="F409" s="1159">
        <f>IF($A409&lt;DATE(2018,7,1),"-",INDEX('I1 - Universal Data'!$E$15:$V$15, MATCH(YEAR(EOMONTH($A409,6)), 'I1 - Universal Data'!$E$14:$V$14, 0)))</f>
        <v>0.03</v>
      </c>
      <c r="G409" s="1160">
        <f t="shared" si="39"/>
        <v>155.74149669338158</v>
      </c>
      <c r="H409" s="1160">
        <f t="shared" si="39"/>
        <v>489.69495141245551</v>
      </c>
    </row>
    <row r="410" spans="1:8">
      <c r="A410" s="1157">
        <f t="shared" si="38"/>
        <v>48579</v>
      </c>
      <c r="B410" s="1158">
        <f t="shared" si="36"/>
        <v>2033</v>
      </c>
      <c r="C410" s="1326"/>
      <c r="D410" s="1326"/>
      <c r="E410" s="1159">
        <f>IF($A410&lt;DATE(2018,7,1),"-",INDEX('I1 - Universal Data'!$E$16:$V$16, MATCH(YEAR(EOMONTH($A410,6)), 'I1 - Universal Data'!$E$14:$V$14, 0)))</f>
        <v>0.02</v>
      </c>
      <c r="F410" s="1159">
        <f>IF($A410&lt;DATE(2018,7,1),"-",INDEX('I1 - Universal Data'!$E$15:$V$15, MATCH(YEAR(EOMONTH($A410,6)), 'I1 - Universal Data'!$E$14:$V$14, 0)))</f>
        <v>0.03</v>
      </c>
      <c r="G410" s="1160">
        <f t="shared" si="39"/>
        <v>155.99871643725345</v>
      </c>
      <c r="H410" s="1160">
        <f t="shared" si="39"/>
        <v>490.90267126877376</v>
      </c>
    </row>
    <row r="411" spans="1:8">
      <c r="A411" s="1157">
        <f t="shared" si="38"/>
        <v>48610</v>
      </c>
      <c r="B411" s="1158">
        <f t="shared" si="36"/>
        <v>2033</v>
      </c>
      <c r="C411" s="1326"/>
      <c r="D411" s="1326"/>
      <c r="E411" s="1159">
        <f>IF($A411&lt;DATE(2018,7,1),"-",INDEX('I1 - Universal Data'!$E$16:$V$16, MATCH(YEAR(EOMONTH($A411,6)), 'I1 - Universal Data'!$E$14:$V$14, 0)))</f>
        <v>0.02</v>
      </c>
      <c r="F411" s="1159">
        <f>IF($A411&lt;DATE(2018,7,1),"-",INDEX('I1 - Universal Data'!$E$15:$V$15, MATCH(YEAR(EOMONTH($A411,6)), 'I1 - Universal Data'!$E$14:$V$14, 0)))</f>
        <v>0.03</v>
      </c>
      <c r="G411" s="1160">
        <f t="shared" si="39"/>
        <v>156.25636100044477</v>
      </c>
      <c r="H411" s="1160">
        <f t="shared" si="39"/>
        <v>492.11336968806705</v>
      </c>
    </row>
    <row r="412" spans="1:8">
      <c r="A412" s="1157">
        <f t="shared" si="38"/>
        <v>48638</v>
      </c>
      <c r="B412" s="1158">
        <f t="shared" si="36"/>
        <v>2033</v>
      </c>
      <c r="C412" s="1152"/>
      <c r="D412" s="1152"/>
      <c r="E412" s="1159">
        <f>IF($A412&lt;DATE(2018,7,1),"-",INDEX('I1 - Universal Data'!$E$16:$V$16, MATCH(YEAR(EOMONTH($A412,6)), 'I1 - Universal Data'!$E$14:$V$14, 0)))</f>
        <v>0.02</v>
      </c>
      <c r="F412" s="1159">
        <f>IF($A412&lt;DATE(2018,7,1),"-",INDEX('I1 - Universal Data'!$E$15:$V$15, MATCH(YEAR(EOMONTH($A412,6)), 'I1 - Universal Data'!$E$14:$V$14, 0)))</f>
        <v>0.03</v>
      </c>
      <c r="G412" s="1160">
        <f t="shared" si="39"/>
        <v>156.5144310845792</v>
      </c>
      <c r="H412" s="1160">
        <f t="shared" si="39"/>
        <v>493.32705401627527</v>
      </c>
    </row>
    <row r="413" spans="1:8">
      <c r="A413" s="1157">
        <f t="shared" si="38"/>
        <v>48669</v>
      </c>
      <c r="B413" s="1158">
        <f t="shared" si="36"/>
        <v>2033</v>
      </c>
      <c r="C413" s="1152"/>
      <c r="D413" s="1152"/>
      <c r="E413" s="1159">
        <f>IF($A413&lt;DATE(2018,7,1),"-",INDEX('I1 - Universal Data'!$E$16:$V$16, MATCH(YEAR(EOMONTH($A413,6)), 'I1 - Universal Data'!$E$14:$V$14, 0)))</f>
        <v>0.02</v>
      </c>
      <c r="F413" s="1159">
        <f>IF($A413&lt;DATE(2018,7,1),"-",INDEX('I1 - Universal Data'!$E$15:$V$15, MATCH(YEAR(EOMONTH($A413,6)), 'I1 - Universal Data'!$E$14:$V$14, 0)))</f>
        <v>0.03</v>
      </c>
      <c r="G413" s="1160">
        <f t="shared" si="39"/>
        <v>156.77292739243919</v>
      </c>
      <c r="H413" s="1160">
        <f t="shared" si="39"/>
        <v>494.54373161745525</v>
      </c>
    </row>
    <row r="414" spans="1:8">
      <c r="A414" s="1147"/>
    </row>
    <row r="415" spans="1:8">
      <c r="A415" s="1147"/>
    </row>
    <row r="416" spans="1:8" hidden="1">
      <c r="A416" s="1147"/>
    </row>
    <row r="417" spans="1:1" hidden="1">
      <c r="A417" s="1147"/>
    </row>
    <row r="418" spans="1:1" hidden="1">
      <c r="A418" s="1147"/>
    </row>
    <row r="419" spans="1:1" hidden="1">
      <c r="A419" s="1147"/>
    </row>
    <row r="420" spans="1:1" hidden="1">
      <c r="A420" s="1147"/>
    </row>
    <row r="421" spans="1:1" hidden="1">
      <c r="A421" s="1147"/>
    </row>
    <row r="422" spans="1:1" hidden="1">
      <c r="A422" s="1147"/>
    </row>
    <row r="423" spans="1:1" hidden="1">
      <c r="A423" s="1147"/>
    </row>
    <row r="424" spans="1:1" hidden="1">
      <c r="A424" s="1147"/>
    </row>
    <row r="425" spans="1:1" hidden="1">
      <c r="A425" s="1147"/>
    </row>
    <row r="426" spans="1:1" hidden="1">
      <c r="A426" s="1147"/>
    </row>
    <row r="427" spans="1:1" hidden="1">
      <c r="A427" s="1147"/>
    </row>
    <row r="428" spans="1:1" hidden="1">
      <c r="A428" s="1147"/>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913982-a5ad-49f9-9d1f-9de6222c5ddd">
      <Terms xmlns="http://schemas.microsoft.com/office/infopath/2007/PartnerControls"/>
    </lcf76f155ced4ddcb4097134ff3c332f>
    <TaxCatchAll xmlns="a70699f2-e6b7-4206-a0cf-519406b976f3" xsi:nil="true"/>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DB06E376454C242B12E8F47004F3BF7" ma:contentTypeVersion="16" ma:contentTypeDescription="Create a new document." ma:contentTypeScope="" ma:versionID="97b959a953f76b5be09ab599079fe3df">
  <xsd:schema xmlns:xsd="http://www.w3.org/2001/XMLSchema" xmlns:xs="http://www.w3.org/2001/XMLSchema" xmlns:p="http://schemas.microsoft.com/office/2006/metadata/properties" xmlns:ns2="88913982-a5ad-49f9-9d1f-9de6222c5ddd" xmlns:ns3="f9a680a8-7f6e-4735-aa43-0a7f80152adb" xmlns:ns4="a70699f2-e6b7-4206-a0cf-519406b976f3" targetNamespace="http://schemas.microsoft.com/office/2006/metadata/properties" ma:root="true" ma:fieldsID="1b2fa8224f7b92f7f128ef21bc403002" ns2:_="" ns3:_="" ns4:_="">
    <xsd:import namespace="88913982-a5ad-49f9-9d1f-9de6222c5ddd"/>
    <xsd:import namespace="f9a680a8-7f6e-4735-aa43-0a7f80152adb"/>
    <xsd:import namespace="a70699f2-e6b7-4206-a0cf-519406b976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13982-a5ad-49f9-9d1f-9de6222c5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b6cfc09-e60f-4204-a1c4-aa3fd7a65a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a680a8-7f6e-4735-aa43-0a7f80152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0699f2-e6b7-4206-a0cf-519406b976f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c1a33ff-5176-4028-8e28-ff187e2685e7}" ma:internalName="TaxCatchAll" ma:showField="CatchAllData" ma:web="f9a680a8-7f6e-4735-aa43-0a7f80152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CC285FE4-1466-4BF7-8FA9-67F63A3D57B8}">
  <ds:schemaRefs>
    <ds:schemaRef ds:uri="http://purl.org/dc/terms/"/>
    <ds:schemaRef ds:uri="f9a680a8-7f6e-4735-aa43-0a7f80152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70699f2-e6b7-4206-a0cf-519406b976f3"/>
    <ds:schemaRef ds:uri="88913982-a5ad-49f9-9d1f-9de6222c5dd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2C510419-B658-4C25-8BFE-DA8BB7133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13982-a5ad-49f9-9d1f-9de6222c5ddd"/>
    <ds:schemaRef ds:uri="f9a680a8-7f6e-4735-aa43-0a7f80152adb"/>
    <ds:schemaRef ds:uri="a70699f2-e6b7-4206-a0cf-519406b97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68</vt:i4>
      </vt:variant>
    </vt:vector>
  </HeadingPairs>
  <TitlesOfParts>
    <vt:vector size="8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Dean Nicholas</cp:lastModifiedBy>
  <cp:revision/>
  <dcterms:created xsi:type="dcterms:W3CDTF">2018-06-13T08:32:09Z</dcterms:created>
  <dcterms:modified xsi:type="dcterms:W3CDTF">2024-09-30T16:32:02Z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0x0101008DB06E376454C242B12E8F47004F3BF7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ies>
</file>